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Kh7nIzV3eItsFhFascjJAOcoW27znkdgB8zpz63T3+OFDpBQ5525T5TRDIQDNJl3A5AHfuw7Br/y4Pn03gGoWg==" workbookSaltValue="TMu7sVraiySTcxbw1ZkQ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L16" i="11" l="1"/>
  <c r="C16" i="6"/>
  <c r="S19" i="8"/>
  <c r="S12" i="14"/>
  <c r="V12" i="14" s="1"/>
  <c r="S16" i="14"/>
  <c r="V16" i="14" s="1"/>
  <c r="R11" i="14"/>
  <c r="R17" i="14"/>
  <c r="AM15" i="11"/>
  <c r="AB13" i="21"/>
  <c r="AB19" i="21" s="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P20" i="21"/>
  <c r="AS20" i="11"/>
  <c r="L20" i="17"/>
  <c r="S20" i="17"/>
  <c r="E20" i="17"/>
  <c r="BE20" i="16"/>
  <c r="M20" i="11"/>
  <c r="J20" i="12"/>
  <c r="U20" i="11"/>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O20" i="11"/>
  <c r="AJ20" i="16"/>
  <c r="AB20" i="21"/>
  <c r="F20" i="16"/>
  <c r="AV20" i="11"/>
  <c r="K20" i="17"/>
  <c r="P20" i="11"/>
  <c r="AB20" i="16"/>
  <c r="BJ20" i="16"/>
  <c r="AL20" i="16"/>
  <c r="AO20" i="16"/>
  <c r="E20" i="1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<sst xmlns="http://schemas.openxmlformats.org/spreadsheetml/2006/main" count="2102" uniqueCount="918">
  <si>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</si>
  <si>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</si>
  <si>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</si>
  <si>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</si>
  <si>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</si>
  <si>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</si>
  <si>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</si>
  <si>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</si>
  <si>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</si>
  <si>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</si>
  <si>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</si>
  <si>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</si>
  <si>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</si>
  <si>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</si>
  <si>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</si>
  <si>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</si>
  <si>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</si>
  <si>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</si>
  <si>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</si>
  <si>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</si>
  <si>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</si>
  <si>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</si>
  <si>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</si>
  <si>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</si>
  <si>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</si>
  <si>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</si>
  <si>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</si>
  <si>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</si>
  <si>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</si>
  <si>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</si>
  <si>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</si>
  <si>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</si>
  <si>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</si>
  <si>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</si>
  <si>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</si>
  <si>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</si>
  <si>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</si>
  <si>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</si>
  <si>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</si>
  <si>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</si>
  <si>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</si>
  <si>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</si>
  <si>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</si>
  <si>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</si>
  <si>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</si>
  <si>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</si>
  <si>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</si>
  <si>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</si>
  <si>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</si>
  <si>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</si>
  <si>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</si>
  <si>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</si>
  <si>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</si>
  <si>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</si>
  <si>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</si>
  <si>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</si>
  <si>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</si>
  <si>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</si>
  <si>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</si>
  <si>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</si>
  <si>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</si>
  <si>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</si>
  <si>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</si>
  <si>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</si>
  <si>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</si>
  <si>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</si>
  <si>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</si>
  <si>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</si>
  <si>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</si>
  <si>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</si>
  <si>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</si>
  <si>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</si>
  <si>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</si>
  <si>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</si>
  <si>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</si>
  <si>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</si>
  <si>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</si>
  <si>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</si>
  <si>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</si>
  <si>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</si>
  <si>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</si>
  <si>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</si>
  <si>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</si>
  <si>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</si>
  <si>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</si>
  <si>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</si>
  <si>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</si>
  <si>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</si>
  <si>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</si>
  <si>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</si>
  <si>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</si>
  <si>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</si>
  <si>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</si>
  <si>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</si>
  <si>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</si>
  <si>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</si>
  <si>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</si>
  <si>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</si>
  <si>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</si>
  <si>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</si>
  <si>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</si>
  <si>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</si>
  <si>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</si>
  <si>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</si>
  <si>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</si>
  <si>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</si>
  <si>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</si>
  <si>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</si>
  <si>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</si>
  <si>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</si>
  <si>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</si>
  <si>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</si>
  <si>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</si>
  <si>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</si>
  <si>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</si>
  <si>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</si>
  <si>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</si>
  <si>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</si>
  <si>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</si>
  <si>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</si>
  <si>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</si>
  <si>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</si>
  <si>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</si>
  <si>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</si>
  <si>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</si>
  <si>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</si>
  <si>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</si>
  <si>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</si>
  <si>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</si>
  <si>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</si>
  <si>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</si>
  <si>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</si>
  <si>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</si>
  <si>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</si>
  <si>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</si>
  <si>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</si>
  <si>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</si>
  <si>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</si>
  <si>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</si>
  <si>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</si>
  <si>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</si>
  <si>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</si>
  <si>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</si>
  <si>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</si>
  <si>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</si>
  <si>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</si>
  <si>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</si>
  <si>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</si>
  <si>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</si>
  <si>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</si>
  <si>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</si>
  <si>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</si>
  <si>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</si>
  <si>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</si>
  <si>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</si>
  <si>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</si>
  <si>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</si>
  <si>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</si>
  <si>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</si>
  <si>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</si>
  <si>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</si>
  <si>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</si>
  <si>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</si>
  <si>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</si>
  <si>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</si>
  <si>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</si>
  <si>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</si>
  <si>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</si>
  <si>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</si>
  <si>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</si>
  <si>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</si>
  <si>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</si>
  <si>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</si>
  <si>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</si>
  <si>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</si>
  <si>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</si>
  <si>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</si>
  <si>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</si>
  <si>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</si>
  <si>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</si>
  <si>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</si>
  <si>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</si>
  <si>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</si>
  <si>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</si>
  <si>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</si>
  <si>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</si>
  <si>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</si>
  <si>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</si>
  <si>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</si>
  <si>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</si>
  <si>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</si>
  <si>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</si>
  <si>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</si>
  <si>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</si>
  <si>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</si>
  <si>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</si>
  <si>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</si>
  <si>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</si>
  <si>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</si>
  <si>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</si>
  <si>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</si>
  <si>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</si>
  <si>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</si>
  <si>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</si>
  <si>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</si>
  <si>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</si>
  <si>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</si>
  <si>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</si>
  <si>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</si>
  <si>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</si>
  <si>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</si>
  <si>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</si>
  <si>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</si>
  <si>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</si>
  <si>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</si>
  <si>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</si>
  <si>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</si>
  <si>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</si>
  <si>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</si>
  <si>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</si>
  <si>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</si>
  <si>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</si>
  <si>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</si>
  <si>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</si>
  <si>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</si>
  <si>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</si>
  <si>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</si>
  <si>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</si>
  <si>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</si>
  <si>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</si>
  <si>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</si>
  <si>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</si>
  <si>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</si>
  <si>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</si>
  <si>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</si>
  <si>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</si>
  <si>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</si>
  <si>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</si>
  <si>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</si>
  <si>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</si>
  <si>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</si>
  <si>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</si>
  <si>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</si>
  <si>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</si>
  <si>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</si>
  <si>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</si>
  <si>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</si>
  <si>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</si>
  <si>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</si>
  <si>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</si>
  <si>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</si>
  <si>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</si>
  <si>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</si>
  <si>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</si>
  <si>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</si>
  <si>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</si>
  <si>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</si>
  <si>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</si>
  <si>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</si>
  <si>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</si>
  <si>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</si>
  <si>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</si>
  <si>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</si>
  <si>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</si>
  <si>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</si>
  <si>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</si>
  <si>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</si>
  <si>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</si>
  <si>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</si>
  <si>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</si>
  <si>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</si>
  <si>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</si>
  <si>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</si>
  <si>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</si>
  <si>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</si>
  <si>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</si>
  <si>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</si>
  <si>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</si>
  <si>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</si>
  <si>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</si>
  <si>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</si>
  <si>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</si>
  <si>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</si>
  <si>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</si>
  <si>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</si>
  <si>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</si>
  <si>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</si>
  <si>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</si>
  <si>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</si>
  <si>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</si>
  <si>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</si>
  <si>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</si>
  <si>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</si>
  <si>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</si>
  <si>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</si>
  <si>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</si>
  <si>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</si>
  <si>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</si>
  <si>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</si>
  <si>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</si>
  <si>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</si>
  <si>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</si>
  <si>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</si>
  <si>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</si>
  <si>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</si>
  <si>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</si>
  <si>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</si>
  <si>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</si>
  <si>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</si>
  <si>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</si>
  <si>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</si>
  <si>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</si>
  <si>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</si>
  <si>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</si>
  <si>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</si>
  <si>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</si>
  <si>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</si>
  <si>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</si>
  <si>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</si>
  <si>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</si>
  <si>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</si>
  <si>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</si>
  <si>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</si>
  <si>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</si>
  <si>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</si>
  <si>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</si>
  <si>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</si>
  <si>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</si>
  <si>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</si>
  <si>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</si>
  <si>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</si>
  <si>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</si>
  <si>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</si>
  <si>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</si>
  <si>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</si>
  <si>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</si>
  <si>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</si>
  <si>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</si>
  <si>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</si>
  <si>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</si>
  <si>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</si>
  <si>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</si>
  <si>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</si>
  <si>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</si>
  <si>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</si>
  <si>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</si>
  <si>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</si>
  <si>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</si>
  <si>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</si>
  <si>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</si>
  <si>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</si>
  <si>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</si>
  <si>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</si>
  <si>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</si>
  <si>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</si>
  <si>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</si>
  <si>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</si>
  <si>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</si>
  <si>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</si>
  <si>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</si>
  <si>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</si>
  <si>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</si>
  <si>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</si>
  <si>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</si>
  <si>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</si>
  <si>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</si>
  <si>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</si>
  <si>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</si>
  <si>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</si>
  <si>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</si>
  <si>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</si>
  <si>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</si>
  <si>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</si>
  <si>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</si>
  <si>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</si>
  <si>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</si>
  <si>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</si>
  <si>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</si>
  <si>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</si>
  <si>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</si>
  <si>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</si>
  <si>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</si>
  <si>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</si>
  <si>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</si>
  <si>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</si>
  <si>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</si>
  <si>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</si>
  <si>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</si>
  <si>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</si>
  <si>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</si>
  <si>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</si>
  <si>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</si>
  <si>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</si>
  <si>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</si>
  <si>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</si>
  <si>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</si>
  <si>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</si>
  <si>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</si>
  <si>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</si>
  <si>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</si>
  <si>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</si>
  <si>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</si>
  <si>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</si>
  <si>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</si>
  <si>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</si>
  <si>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</si>
  <si>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</si>
  <si>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</si>
  <si>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</si>
  <si>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</si>
  <si>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</si>
  <si>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</si>
  <si>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</si>
  <si>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</si>
  <si>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</si>
  <si>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</si>
  <si>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</si>
  <si>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</si>
  <si>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</si>
  <si>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</si>
  <si>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</si>
  <si>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</si>
  <si>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</si>
  <si>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</si>
  <si>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</si>
  <si>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</si>
  <si>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</si>
  <si>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</si>
  <si>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</si>
  <si>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</si>
  <si>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</si>
  <si>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</si>
  <si>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</si>
  <si>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</si>
  <si>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</si>
  <si>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</si>
  <si>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</si>
  <si>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</si>
  <si>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</si>
  <si>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</si>
  <si>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</si>
  <si>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</si>
  <si>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</si>
  <si>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</si>
  <si>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</si>
  <si>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</si>
  <si>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</si>
  <si>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</si>
  <si>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</si>
  <si>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</si>
  <si>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</si>
  <si>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</si>
  <si>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</si>
  <si>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</si>
  <si>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</si>
  <si>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</si>
  <si>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</si>
  <si>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</si>
  <si>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</si>
  <si>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</si>
  <si>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</si>
  <si>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</si>
  <si>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</si>
  <si>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</si>
  <si>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</si>
  <si>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</si>
  <si>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</si>
  <si>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</si>
  <si>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</si>
  <si>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</si>
  <si>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</si>
  <si>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</si>
  <si>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</si>
  <si>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</si>
  <si>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</si>
  <si>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</si>
  <si>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</si>
  <si>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</si>
  <si>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</si>
  <si>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</si>
  <si>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</si>
  <si>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</si>
  <si>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</si>
  <si>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</si>
  <si>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</si>
  <si>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</si>
  <si>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</si>
  <si>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</si>
  <si>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</si>
  <si>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</si>
  <si>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</si>
  <si>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</si>
  <si>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</si>
  <si>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</si>
  <si>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</si>
  <si>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</si>
  <si>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</si>
  <si>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</si>
  <si>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</si>
  <si>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</si>
  <si>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</si>
  <si>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</si>
  <si>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</si>
  <si>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</si>
  <si>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</si>
  <si>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</si>
  <si>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</si>
  <si>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</si>
  <si>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</si>
  <si>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</si>
  <si>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</si>
  <si>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</si>
  <si>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</si>
  <si>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</si>
  <si>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</si>
  <si>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</si>
  <si>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</si>
  <si>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</si>
  <si>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</si>
  <si>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</si>
  <si>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</si>
  <si>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</si>
  <si>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</si>
  <si>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</si>
  <si>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</si>
  <si>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</si>
  <si>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</si>
  <si>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</si>
  <si>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</si>
  <si>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</si>
  <si>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</si>
  <si>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</si>
  <si>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</si>
  <si>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</si>
  <si>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</si>
  <si>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</si>
  <si>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</si>
  <si>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</si>
  <si>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</si>
  <si>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</si>
  <si>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</si>
  <si>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</si>
  <si>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</si>
  <si>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</si>
  <si>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</si>
  <si>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</si>
  <si>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</si>
  <si>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</si>
  <si>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</si>
  <si>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</si>
  <si>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</si>
  <si>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</si>
  <si>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</si>
  <si>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</si>
  <si>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</si>
  <si>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</si>
  <si>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</si>
  <si>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</si>
  <si>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</si>
  <si>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</si>
  <si>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</si>
  <si>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</si>
  <si>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</si>
  <si>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</si>
  <si>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</si>
  <si>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</si>
  <si>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</si>
  <si>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</si>
  <si>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</si>
  <si>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</si>
  <si>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</si>
  <si>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</si>
  <si>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</si>
  <si>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</si>
  <si>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</si>
  <si>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</si>
  <si>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</si>
  <si>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</si>
  <si>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</si>
  <si>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</si>
  <si>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</si>
  <si>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</si>
  <si>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</si>
  <si>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</si>
  <si>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</si>
  <si>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</si>
  <si>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</si>
  <si>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</si>
  <si>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</si>
  <si>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</si>
  <si>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</si>
  <si>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</si>
  <si>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</si>
  <si>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</si>
  <si>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</si>
  <si>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</si>
  <si>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</si>
  <si>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</si>
  <si>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</si>
  <si>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</si>
  <si>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</si>
  <si>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</si>
  <si>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</si>
  <si>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</si>
  <si>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</si>
  <si>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</si>
  <si>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</si>
  <si>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</si>
  <si>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</si>
  <si>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</si>
  <si>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</si>
  <si>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</si>
  <si>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</si>
  <si>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</si>
  <si>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</si>
  <si>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</si>
  <si>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</si>
  <si>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</si>
  <si>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</si>
  <si>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</si>
  <si>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</si>
  <si>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</si>
  <si>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</si>
  <si>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</si>
  <si>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</si>
  <si>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</si>
  <si>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</si>
  <si>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</si>
  <si>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</si>
  <si>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</si>
  <si>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</si>
  <si>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</si>
  <si>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</si>
  <si>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</si>
  <si>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</si>
  <si>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</si>
  <si>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</si>
  <si>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</si>
  <si>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</si>
  <si>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</si>
  <si>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</si>
  <si>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</si>
  <si>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</si>
  <si>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</si>
  <si>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</si>
  <si>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</si>
  <si>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</si>
  <si>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</si>
  <si>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</si>
  <si>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</si>
  <si>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</si>
  <si>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</si>
  <si>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</si>
  <si>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</si>
  <si>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</si>
  <si>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</si>
  <si>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</si>
  <si>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</si>
  <si>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</si>
  <si>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</si>
  <si>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</si>
  <si>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</si>
  <si>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</si>
  <si>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</si>
  <si>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</si>
  <si>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</si>
  <si>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</si>
  <si>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</si>
  <si>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</si>
  <si>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</si>
  <si>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</si>
  <si>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</si>
  <si>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</si>
  <si>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</si>
  <si>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</si>
  <si>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</si>
  <si>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</si>
  <si>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</si>
  <si>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</si>
  <si>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</si>
  <si>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</si>
  <si>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</si>
  <si>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</si>
  <si>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</si>
  <si>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</si>
  <si>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</si>
  <si>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</si>
  <si>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</si>
  <si>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</si>
  <si>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</si>
  <si>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</si>
  <si>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</si>
  <si>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</si>
  <si>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</si>
  <si>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</si>
  <si>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</si>
  <si>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</si>
  <si>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</si>
  <si>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</si>
  <si>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</si>
  <si>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</si>
  <si>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</si>
  <si>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</si>
  <si>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</si>
  <si>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</si>
  <si>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</si>
  <si>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</si>
  <si>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</si>
  <si>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</si>
  <si>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</si>
  <si>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</si>
  <si>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</si>
  <si>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</si>
  <si>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</si>
  <si>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</si>
  <si>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</si>
  <si>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</si>
  <si>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</si>
  <si>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</si>
  <si>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</si>
  <si>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</si>
  <si>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</si>
  <si>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</si>
  <si>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</si>
  <si>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</si>
  <si>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</si>
  <si>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</si>
  <si>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</si>
  <si>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</si>
  <si>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</si>
  <si>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</si>
  <si>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</si>
  <si>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</si>
  <si>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</si>
  <si>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</si>
  <si>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</si>
  <si>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</si>
  <si>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</si>
  <si>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</si>
  <si>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</si>
  <si>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</si>
  <si>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</si>
  <si>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</si>
  <si>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</si>
  <si>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</si>
  <si>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</si>
  <si>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</si>
  <si>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</si>
  <si>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</si>
  <si>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</si>
  <si>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</si>
  <si>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</si>
  <si>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</si>
  <si>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</si>
  <si>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</si>
  <si>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</si>
  <si>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</si>
  <si>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</si>
  <si>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</si>
  <si>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</si>
  <si>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</si>
  <si>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</si>
  <si>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</si>
  <si>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</si>
  <si>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</si>
  <si>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</si>
  <si>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</si>
  <si>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</si>
  <si>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</si>
  <si>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</si>
  <si>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</si>
  <si>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</si>
  <si>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</si>
  <si>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</si>
  <si>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</si>
  <si>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</si>
  <si>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</si>
  <si>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</si>
  <si>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</si>
  <si>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</si>
  <si>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</si>
  <si>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</si>
  <si>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</si>
  <si>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</si>
  <si>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</si>
  <si>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</si>
  <si>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</si>
  <si>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</si>
  <si>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</si>
  <si>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</si>
  <si>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</si>
  <si>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</si>
  <si>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</si>
  <si>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</si>
  <si>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</si>
  <si>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</si>
  <si>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</si>
  <si>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</si>
  <si>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</si>
  <si>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</si>
  <si>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</si>
  <si>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</si>
  <si>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</si>
  <si>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</si>
  <si>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</si>
  <si>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</si>
  <si>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</si>
  <si>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</si>
  <si>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</si>
  <si>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</si>
  <si>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</si>
  <si>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</si>
  <si>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</si>
  <si>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</si>
  <si>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</si>
  <si>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</si>
  <si>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</si>
  <si>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</si>
  <si>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</si>
  <si>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</si>
  <si>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</si>
  <si>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</si>
  <si>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</si>
  <si>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</si>
  <si>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</si>
  <si>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</si>
  <si>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</si>
  <si>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</si>
  <si>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</si>
  <si>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</si>
  <si>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</si>
  <si>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</si>
  <si>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</si>
  <si>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</si>
  <si>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</si>
  <si>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</si>
  <si>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</si>
  <si>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</si>
  <si>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</si>
  <si>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</si>
  <si>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</si>
  <si>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</si>
  <si>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</si>
  <si>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</si>
  <si>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</si>
  <si>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</si>
  <si>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</si>
  <si>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</si>
  <si>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</si>
  <si>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</si>
  <si>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</si>
  <si>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</si>
  <si>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</si>
  <si>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</si>
  <si>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</si>
  <si>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</si>
  <si>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</si>
  <si>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</si>
  <si>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</si>
  <si>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</si>
  <si>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</si>
  <si>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</si>
  <si>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</si>
  <si>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</si>
  <si>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</si>
  <si>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</si>
  <si>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</si>
  <si>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</si>
  <si>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</si>
  <si>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</si>
  <si>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</si>
  <si>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</si>
  <si>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</si>
  <si>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</si>
  <si>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</si>
  <si>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</si>
  <si>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</si>
  <si>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</si>
  <si>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</si>
  <si>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</si>
  <si>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</si>
  <si>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</si>
  <si>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</si>
  <si>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</si>
  <si>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</si>
  <si>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</si>
  <si>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</si>
  <si>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</si>
  <si>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</si>
  <si>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</si>
  <si>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</si>
  <si>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</si>
  <si>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</si>
  <si>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</si>
  <si>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</si>
  <si>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</si>
  <si>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</si>
  <si>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</si>
  <si>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</si>
  <si>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</si>
  <si>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</si>
  <si>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</si>
  <si>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</si>
  <si>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</si>
  <si>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</si>
  <si>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</si>
  <si>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</si>
  <si>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</si>
  <si>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</si>
  <si>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</si>
  <si>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</si>
  <si>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</si>
  <si>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</si>
  <si>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</si>
  <si>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</si>
  <si>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</si>
  <si>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</si>
  <si>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CORNELLA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</si>
</sst>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LrJdVEv8E9o3bZKcW90tROI9B9r6iLImeblL7hVMGSsI08tQXo9IkKAwS6Ug3L7a2J17/dKFPhP4Juu6CztdA==" saltValue="xqcDNLjQgqBfUPqee9MB0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122</v>
      </c>
      <c r="D10" s="225">
        <f>IF(ISNUMBER(Datos!I10),Datos!I10," - ")</f>
        <v>122</v>
      </c>
      <c r="E10" s="226">
        <f>IF(ISNUMBER(Datos!J10),Datos!J10," - ")</f>
        <v>107</v>
      </c>
      <c r="F10" s="226">
        <f>IF(ISNUMBER(Datos!K10),Datos!K10," - ")</f>
        <v>91</v>
      </c>
      <c r="G10" s="1034" t="str">
        <f>IF(Datos!E10&lt;&gt;"",Datos!E10,Datos!D10)</f>
        <v>37</v>
      </c>
      <c r="H10" s="227">
        <f>IF(ISNUMBER(Datos!L10),Datos!L10," - ")</f>
        <v>138</v>
      </c>
      <c r="I10" s="1044" t="str">
        <f>IF(ISNUMBER(Datos!AS10/Datos!BM10),Datos!AS10/Datos!BM10," - ")</f>
        <v xml:space="preserve"> - </v>
      </c>
      <c r="J10" s="1045">
        <f>IF(ISNUMBER(Datos!BY10/Datos!CN10),Datos!BY10/Datos!CN10," - ")</f>
        <v>0</v>
      </c>
      <c r="K10" s="230">
        <f t="shared" ref="K10:K12" si="1">IF(ISNUMBER((E10-F10)/C10),(E10-F10)/C10," - ")</f>
        <v>0.13114754098360656</v>
      </c>
      <c r="L10" s="1025">
        <f>IF(ISNUMBER(NºAsuntos!I10/NºAsuntos!G10),(NºAsuntos!I10/NºAsuntos!G10)*11," - ")</f>
        <v>16.681318681318679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9.7262985563327877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122</v>
      </c>
      <c r="D13" s="1049">
        <f>SUBTOTAL(9,D9:D12)</f>
        <v>122</v>
      </c>
      <c r="E13" s="1050">
        <f>SUBTOTAL(9,E9:E12)</f>
        <v>107</v>
      </c>
      <c r="F13" s="1051">
        <f>SUBTOTAL(9,F9:F12)</f>
        <v>91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1196</v>
      </c>
      <c r="D16" s="225">
        <f>IF(ISNUMBER(IF(D_I="SI",Datos!I16,Datos!I16+Datos!AC16)),IF(D_I="SI",Datos!I16,Datos!I16+Datos!AC16)," - ")</f>
        <v>1191</v>
      </c>
      <c r="E16" s="226">
        <f>IF(ISNUMBER(IF(D_I="SI",Datos!J16,Datos!J16+Datos!AD16)),IF(D_I="SI",Datos!J16,Datos!J16+Datos!AD16)," - ")</f>
        <v>6217</v>
      </c>
      <c r="F16" s="226">
        <f>IF(ISNUMBER(IF(D_I="SI",Datos!K16,Datos!K16+Datos!AE16)),IF(D_I="SI",Datos!K16,Datos!K16+Datos!AE16)," - ")</f>
        <v>5474</v>
      </c>
      <c r="G16" s="1034" t="str">
        <f>IF(Datos!E16&lt;&gt;"",Datos!E16,Datos!D16)</f>
        <v>04</v>
      </c>
      <c r="H16" s="227">
        <f>IF(ISNUMBER(IF(D_I="SI",Datos!L16,Datos!L16+Datos!AF16)),IF(D_I="SI",Datos!L16,Datos!L16+Datos!AF16)," - ")</f>
        <v>1939</v>
      </c>
      <c r="I16" s="1044" t="str">
        <f>IF(ISNUMBER(Datos!AS16/Datos!BM16),Datos!AS16/Datos!BM16," - ")</f>
        <v xml:space="preserve"> - </v>
      </c>
      <c r="J16" s="1045">
        <f>IF(ISNUMBER(Datos!BY16/Datos!CN16),Datos!BY16/Datos!CN16," - ")</f>
        <v>0</v>
      </c>
      <c r="K16" s="230">
        <f t="shared" si="3"/>
        <v>0.62123745819397991</v>
      </c>
      <c r="L16" s="1025">
        <f>IF(ISNUMBER(NºAsuntos!I16/NºAsuntos!G16),(NºAsuntos!I16/NºAsuntos!G16)*11," - ")</f>
        <v>3.8964194373401533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113</v>
      </c>
      <c r="D17" s="225">
        <f>IF(ISNUMBER(IF(D_I="SI",Datos!I17,Datos!I17+Datos!AC17)),IF(D_I="SI",Datos!I17,Datos!I17+Datos!AC17)," - ")</f>
        <v>113</v>
      </c>
      <c r="E17" s="226">
        <f>IF(ISNUMBER(IF(D_I="SI",Datos!J17,Datos!J17+Datos!AD17)),IF(D_I="SI",Datos!J17,Datos!J17+Datos!AD17)," - ")</f>
        <v>459</v>
      </c>
      <c r="F17" s="226">
        <f>IF(ISNUMBER(IF(D_I="SI",Datos!K17,Datos!K17+Datos!AE17)),IF(D_I="SI",Datos!K17,Datos!K17+Datos!AE17)," - ")</f>
        <v>449</v>
      </c>
      <c r="G17" s="1034" t="str">
        <f>IF(Datos!E17&lt;&gt;"",Datos!E17,Datos!D17)</f>
        <v>37</v>
      </c>
      <c r="H17" s="227">
        <f>IF(ISNUMBER(IF(D_I="SI",Datos!L17,Datos!L17+Datos!AF17)),IF(D_I="SI",Datos!L17,Datos!L17+Datos!AF17)," - ")</f>
        <v>123</v>
      </c>
      <c r="I17" s="1044" t="str">
        <f>IF(ISNUMBER(Datos!AS17/Datos!BM17),Datos!AS17/Datos!BM17," - ")</f>
        <v xml:space="preserve"> - </v>
      </c>
      <c r="J17" s="1045" t="str">
        <f>IF(ISNUMBER((Datos!BY17+Datos!BZ17)/Datos!CN17),(Datos!BY17+Datos!BZ17)/Datos!CN17," - ")</f>
        <v xml:space="preserve"> - </v>
      </c>
      <c r="K17" s="230">
        <f t="shared" si="3"/>
        <v>8.8495575221238937E-2</v>
      </c>
      <c r="L17" s="1025">
        <f>IF(ISNUMBER(NºAsuntos!I17/NºAsuntos!G17),(NºAsuntos!I17/NºAsuntos!G17)*11," - ")</f>
        <v>3.0133630289532296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1309</v>
      </c>
      <c r="D18" s="1049">
        <f>SUBTOTAL(9,D15:D17)</f>
        <v>1304</v>
      </c>
      <c r="E18" s="1050">
        <f>SUBTOTAL(9,E15:E17)</f>
        <v>6676</v>
      </c>
      <c r="F18" s="1050">
        <f>SUBTOTAL(9,F15:F17)</f>
        <v>5923</v>
      </c>
      <c r="G18" s="1052" t="str">
        <f ca="1">INDIRECT(CONCATENATE("G",ROW()-1))</f>
        <v>37</v>
      </c>
      <c r="H18" s="1053">
        <f ca="1">SUMIF(G$14:G17,G18,H$14:H17)</f>
        <v>123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1431</v>
      </c>
      <c r="D19" s="1071">
        <f>SUBTOTAL(9,D9:D18)</f>
        <v>1426</v>
      </c>
      <c r="E19" s="1072">
        <f>SUBTOTAL(9,E9:E18)</f>
        <v>6783</v>
      </c>
      <c r="F19" s="1072">
        <f>SUBTOTAL(9,F9:F18)</f>
        <v>6014</v>
      </c>
      <c r="G19" s="1073"/>
      <c r="H19" s="1074">
        <f ca="1">SUMIF(B9:B18,"TOTAL",H9:H18)</f>
        <v>123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cXmRXybxrw12kvoyZ6EZUDmSo8BujoA/gPt7TJwDVoQah1HpO3zXqxcNw++ox5PxeS+1RTzmbIzQvoShubx/Q==" saltValue="+boGQ4ulwC29mTWVAq7gK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ts3YqlLaJ3JzQAY3UNlPuNwweS3msdE4x10QtPfeRCG8DX19ChwIInvYVY1AhphiyR4bgiZVIn/fDYVFFiVHw==" saltValue="1uriMfnBDuz2i5vCCpoBE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122</v>
      </c>
      <c r="J10" s="181">
        <v>107</v>
      </c>
      <c r="K10" s="181">
        <v>91</v>
      </c>
      <c r="L10" s="181">
        <v>138</v>
      </c>
      <c r="M10" s="181">
        <v>39</v>
      </c>
      <c r="N10" s="181">
        <v>28</v>
      </c>
      <c r="O10" s="181">
        <v>14</v>
      </c>
      <c r="P10" s="181">
        <v>7</v>
      </c>
      <c r="Q10" s="181">
        <v>9</v>
      </c>
      <c r="R10" s="181">
        <v>19</v>
      </c>
      <c r="S10" s="181">
        <v>107</v>
      </c>
      <c r="T10" s="181">
        <v>75</v>
      </c>
      <c r="U10" s="181">
        <v>60</v>
      </c>
      <c r="V10" s="181">
        <v>122</v>
      </c>
      <c r="W10" s="181">
        <v>32</v>
      </c>
      <c r="X10" s="188">
        <v>14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107</v>
      </c>
      <c r="AZ10" s="129">
        <f t="shared" si="0"/>
        <v>75</v>
      </c>
      <c r="BA10" s="129">
        <f t="shared" si="0"/>
        <v>60</v>
      </c>
      <c r="BB10" s="129">
        <f t="shared" si="0"/>
        <v>122</v>
      </c>
      <c r="BC10" s="125">
        <f t="shared" si="0"/>
        <v>32</v>
      </c>
      <c r="BD10" s="126">
        <f>IF(ISNUMBER(BA10/AZ10),BA10/AZ10," - ")</f>
        <v>0.8</v>
      </c>
      <c r="BE10" s="127">
        <f>IF(ISNUMBER(BB10/BA10),BB10/BA10, " - ")</f>
        <v>2.0333333333333332</v>
      </c>
      <c r="BF10" s="127">
        <f>IF(ISNUMBER(BC10/BA10),BC10/BA10, " - ")</f>
        <v>0.53333333333333333</v>
      </c>
      <c r="BG10" s="196">
        <f>IF(ISNUMBER((AY10+AZ10)/BA10),(AY10+AZ10)/BA10," - ")</f>
        <v>3.0333333333333332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6546</v>
      </c>
      <c r="J12" s="183">
        <v>5651</v>
      </c>
      <c r="K12" s="183">
        <v>6523</v>
      </c>
      <c r="L12" s="183">
        <v>5765</v>
      </c>
      <c r="M12" s="183">
        <v>1385</v>
      </c>
      <c r="N12" s="183">
        <v>3390</v>
      </c>
      <c r="O12" s="181">
        <v>2094</v>
      </c>
      <c r="P12" s="183">
        <v>1162</v>
      </c>
      <c r="Q12" s="183">
        <v>1103</v>
      </c>
      <c r="R12" s="183">
        <v>4664</v>
      </c>
      <c r="S12" s="183">
        <v>6142</v>
      </c>
      <c r="T12" s="183">
        <v>7139</v>
      </c>
      <c r="U12" s="183">
        <v>6735</v>
      </c>
      <c r="V12" s="183">
        <v>6546</v>
      </c>
      <c r="W12" s="183">
        <v>1593</v>
      </c>
      <c r="X12" s="189">
        <v>3186</v>
      </c>
      <c r="Y12" s="191">
        <v>148</v>
      </c>
      <c r="Z12" s="181">
        <v>224</v>
      </c>
      <c r="AA12" s="181">
        <v>196</v>
      </c>
      <c r="AB12" s="181">
        <v>176</v>
      </c>
      <c r="AC12" s="183">
        <v>0</v>
      </c>
      <c r="AD12" s="183">
        <v>0</v>
      </c>
      <c r="AE12" s="183">
        <v>0</v>
      </c>
      <c r="AF12" s="189">
        <v>0</v>
      </c>
      <c r="AG12" s="202">
        <v>122</v>
      </c>
      <c r="AH12" s="183">
        <v>318</v>
      </c>
      <c r="AI12" s="183">
        <v>292</v>
      </c>
      <c r="AJ12" s="203">
        <v>148</v>
      </c>
      <c r="AK12" s="182">
        <v>0</v>
      </c>
      <c r="AL12" s="183">
        <v>0</v>
      </c>
      <c r="AM12" s="183">
        <v>0</v>
      </c>
      <c r="AN12" s="189">
        <v>0</v>
      </c>
      <c r="AO12" s="259">
        <v>5</v>
      </c>
      <c r="AP12" s="155">
        <v>5</v>
      </c>
      <c r="AQ12" s="155">
        <v>5</v>
      </c>
      <c r="AR12" s="154">
        <v>5</v>
      </c>
      <c r="AS12" s="340" t="s">
        <v>802</v>
      </c>
      <c r="AT12" s="203"/>
      <c r="AU12" s="202"/>
      <c r="AV12" s="203"/>
      <c r="AW12" s="202"/>
      <c r="AX12" s="203"/>
      <c r="AY12" s="126">
        <f t="shared" si="1"/>
        <v>6264</v>
      </c>
      <c r="AZ12" s="127">
        <f t="shared" si="1"/>
        <v>7457</v>
      </c>
      <c r="BA12" s="127">
        <f t="shared" si="1"/>
        <v>7027</v>
      </c>
      <c r="BB12" s="127">
        <f t="shared" si="1"/>
        <v>6694</v>
      </c>
      <c r="BC12" s="125">
        <f>IF(ISNUMBER(X12),X12," - ")</f>
        <v>3186</v>
      </c>
      <c r="BD12" s="126">
        <f t="shared" si="2"/>
        <v>0.94233606007777926</v>
      </c>
      <c r="BE12" s="127">
        <f t="shared" si="3"/>
        <v>0.9526113561975238</v>
      </c>
      <c r="BF12" s="127">
        <f t="shared" si="4"/>
        <v>0.45339405151558276</v>
      </c>
      <c r="BG12" s="196">
        <f t="shared" si="5"/>
        <v>1.9526113561975238</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6668</v>
      </c>
      <c r="J13" s="184">
        <f t="shared" si="6"/>
        <v>5758</v>
      </c>
      <c r="K13" s="184">
        <f t="shared" si="6"/>
        <v>6614</v>
      </c>
      <c r="L13" s="184">
        <f t="shared" si="6"/>
        <v>5903</v>
      </c>
      <c r="M13" s="184">
        <f t="shared" si="6"/>
        <v>1424</v>
      </c>
      <c r="N13" s="184">
        <f t="shared" si="6"/>
        <v>3418</v>
      </c>
      <c r="O13" s="184">
        <f t="shared" si="6"/>
        <v>2108</v>
      </c>
      <c r="P13" s="184">
        <f t="shared" si="6"/>
        <v>1169</v>
      </c>
      <c r="Q13" s="184">
        <f t="shared" si="6"/>
        <v>1112</v>
      </c>
      <c r="R13" s="184">
        <f t="shared" si="6"/>
        <v>4683</v>
      </c>
      <c r="S13" s="184">
        <f t="shared" si="6"/>
        <v>6249</v>
      </c>
      <c r="T13" s="184">
        <f t="shared" si="6"/>
        <v>7214</v>
      </c>
      <c r="U13" s="184">
        <f t="shared" si="6"/>
        <v>6795</v>
      </c>
      <c r="V13" s="184">
        <f t="shared" si="6"/>
        <v>6668</v>
      </c>
      <c r="W13" s="184">
        <f t="shared" si="6"/>
        <v>1625</v>
      </c>
      <c r="X13" s="184">
        <f t="shared" si="6"/>
        <v>3200</v>
      </c>
      <c r="Y13" s="184">
        <f t="shared" si="6"/>
        <v>148</v>
      </c>
      <c r="Z13" s="184">
        <f t="shared" si="6"/>
        <v>224</v>
      </c>
      <c r="AA13" s="184">
        <f t="shared" si="6"/>
        <v>196</v>
      </c>
      <c r="AB13" s="184">
        <f t="shared" si="6"/>
        <v>176</v>
      </c>
      <c r="AC13" s="184">
        <f t="shared" si="6"/>
        <v>0</v>
      </c>
      <c r="AD13" s="184">
        <f t="shared" si="6"/>
        <v>0</v>
      </c>
      <c r="AE13" s="184">
        <f t="shared" si="6"/>
        <v>0</v>
      </c>
      <c r="AF13" s="184">
        <f>SUBTOTAL(9,AF9:AF12)</f>
        <v>0</v>
      </c>
      <c r="AG13" s="184">
        <f t="shared" ref="AG13:AT13" si="7">SUBTOTAL(9,AG8:AG12)</f>
        <v>122</v>
      </c>
      <c r="AH13" s="184">
        <f t="shared" si="7"/>
        <v>318</v>
      </c>
      <c r="AI13" s="184">
        <f t="shared" si="7"/>
        <v>292</v>
      </c>
      <c r="AJ13" s="184">
        <f t="shared" si="7"/>
        <v>148</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6371</v>
      </c>
      <c r="AZ13" s="184">
        <f>SUBTOTAL(9,AZ8:AZ12)</f>
        <v>7532</v>
      </c>
      <c r="BA13" s="184">
        <f>SUBTOTAL(9,BA8:BA12)</f>
        <v>7087</v>
      </c>
      <c r="BB13" s="184">
        <f>SUBTOTAL(9,BB8:BB12)</f>
        <v>6816</v>
      </c>
      <c r="BC13" s="184">
        <f>SUBTOTAL(9,BC8:BC12)</f>
        <v>3218</v>
      </c>
      <c r="BD13" s="205">
        <f>IF(ISNUMBER(BA13/AZ13),BA13/AZ13," - ")</f>
        <v>0.94091874668082842</v>
      </c>
      <c r="BE13" s="206">
        <f>IF(ISNUMBER(BB13/BA13),BB13/BA13, " - ")</f>
        <v>0.96176097079159029</v>
      </c>
      <c r="BF13" s="206">
        <f>IF(ISNUMBER(BC13/BA13),BC13/BA13, " - ")</f>
        <v>0.45407083392126429</v>
      </c>
      <c r="BG13" s="207">
        <f>IF(ISNUMBER((AY13+AZ13)/BA13),(AY13+AZ13)/BA13," - ")</f>
        <v>1.9617609707915902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1191</v>
      </c>
      <c r="J16" s="183">
        <v>6217</v>
      </c>
      <c r="K16" s="183">
        <v>5474</v>
      </c>
      <c r="L16" s="183">
        <v>1939</v>
      </c>
      <c r="M16" s="183">
        <v>460</v>
      </c>
      <c r="N16" s="183">
        <v>4009</v>
      </c>
      <c r="O16" s="181">
        <v>0</v>
      </c>
      <c r="P16" s="183">
        <v>84</v>
      </c>
      <c r="Q16" s="183">
        <v>97</v>
      </c>
      <c r="R16" s="183">
        <v>273</v>
      </c>
      <c r="S16" s="183">
        <v>885</v>
      </c>
      <c r="T16" s="183">
        <v>6178</v>
      </c>
      <c r="U16" s="183">
        <v>5876</v>
      </c>
      <c r="V16" s="183">
        <v>1191</v>
      </c>
      <c r="W16" s="183">
        <v>456</v>
      </c>
      <c r="X16" s="189">
        <v>4417</v>
      </c>
      <c r="Y16" s="202">
        <v>0</v>
      </c>
      <c r="Z16" s="183">
        <v>0</v>
      </c>
      <c r="AA16" s="183">
        <v>0</v>
      </c>
      <c r="AB16" s="183">
        <v>0</v>
      </c>
      <c r="AC16" s="183">
        <v>2</v>
      </c>
      <c r="AD16" s="183">
        <v>134</v>
      </c>
      <c r="AE16" s="183">
        <v>131</v>
      </c>
      <c r="AF16" s="189">
        <v>5</v>
      </c>
      <c r="AG16" s="202">
        <v>0</v>
      </c>
      <c r="AH16" s="183">
        <v>0</v>
      </c>
      <c r="AI16" s="183">
        <v>0</v>
      </c>
      <c r="AJ16" s="203">
        <v>0</v>
      </c>
      <c r="AK16" s="182">
        <v>0</v>
      </c>
      <c r="AL16" s="183">
        <v>64</v>
      </c>
      <c r="AM16" s="183">
        <v>62</v>
      </c>
      <c r="AN16" s="189">
        <v>2</v>
      </c>
      <c r="AO16" s="259">
        <v>5</v>
      </c>
      <c r="AP16" s="155">
        <v>5</v>
      </c>
      <c r="AQ16" s="155">
        <v>5</v>
      </c>
      <c r="AR16" s="155">
        <v>5</v>
      </c>
      <c r="AS16" s="340" t="s">
        <v>487</v>
      </c>
      <c r="AT16" s="203"/>
      <c r="AU16" s="202"/>
      <c r="AV16" s="203"/>
      <c r="AW16" s="202"/>
      <c r="AX16" s="203"/>
      <c r="AY16" s="126">
        <f t="shared" si="9"/>
        <v>885</v>
      </c>
      <c r="AZ16" s="127">
        <f t="shared" si="9"/>
        <v>6178</v>
      </c>
      <c r="BA16" s="127">
        <f t="shared" si="9"/>
        <v>5876</v>
      </c>
      <c r="BB16" s="127">
        <f t="shared" si="9"/>
        <v>1191</v>
      </c>
      <c r="BC16" s="125">
        <f>IF(ISNUMBER(W16),W16," - ")</f>
        <v>456</v>
      </c>
      <c r="BD16" s="126">
        <f t="shared" ref="BD16" si="11">IF(ISNUMBER(BA16/AZ16),BA16/AZ16," - ")</f>
        <v>0.95111686629977343</v>
      </c>
      <c r="BE16" s="127">
        <f t="shared" ref="BE16" si="12">IF(ISNUMBER(BB16/BA16),BB16/BA16, " - ")</f>
        <v>0.20268890401633766</v>
      </c>
      <c r="BF16" s="127">
        <f t="shared" ref="BF16" si="13">IF(ISNUMBER(BC16/BA16),BC16/BA16, " - ")</f>
        <v>7.760381211708646E-2</v>
      </c>
      <c r="BG16" s="196">
        <f t="shared" si="10"/>
        <v>1.2020081688223281</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113</v>
      </c>
      <c r="J17" s="183">
        <v>459</v>
      </c>
      <c r="K17" s="183">
        <v>449</v>
      </c>
      <c r="L17" s="183">
        <v>123</v>
      </c>
      <c r="M17" s="183">
        <v>16</v>
      </c>
      <c r="N17" s="183">
        <v>170</v>
      </c>
      <c r="O17" s="183">
        <v>0</v>
      </c>
      <c r="P17" s="183">
        <v>9</v>
      </c>
      <c r="Q17" s="183">
        <v>14</v>
      </c>
      <c r="R17" s="183">
        <v>1</v>
      </c>
      <c r="S17" s="183">
        <v>117</v>
      </c>
      <c r="T17" s="183">
        <v>561</v>
      </c>
      <c r="U17" s="183">
        <v>566</v>
      </c>
      <c r="V17" s="183">
        <v>113</v>
      </c>
      <c r="W17" s="183">
        <v>18</v>
      </c>
      <c r="X17" s="189">
        <v>195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117</v>
      </c>
      <c r="AZ17" s="129">
        <f t="shared" si="14"/>
        <v>561</v>
      </c>
      <c r="BA17" s="129">
        <f t="shared" si="14"/>
        <v>566</v>
      </c>
      <c r="BB17" s="129">
        <f t="shared" si="14"/>
        <v>113</v>
      </c>
      <c r="BC17" s="125">
        <f>IF(ISNUMBER(W17),W17," - ")</f>
        <v>18</v>
      </c>
      <c r="BD17" s="126">
        <f>IF(ISNUMBER(BA17/AZ17),BA17/AZ17," - ")</f>
        <v>1.0089126559714796</v>
      </c>
      <c r="BE17" s="127">
        <f>IF(ISNUMBER(BB17/BA17),BB17/BA17, " - ")</f>
        <v>0.19964664310954064</v>
      </c>
      <c r="BF17" s="127">
        <f>IF(ISNUMBER(BC17/BA17),BC17/BA17, " - ")</f>
        <v>3.1802120141342753E-2</v>
      </c>
      <c r="BG17" s="196">
        <f>IF(ISNUMBER((AY17+AZ17)/BA17),(AY17+AZ17)/BA17," - ")</f>
        <v>1.1978798586572439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1304</v>
      </c>
      <c r="J18" s="184">
        <f t="shared" si="15"/>
        <v>6676</v>
      </c>
      <c r="K18" s="184">
        <f t="shared" si="15"/>
        <v>5923</v>
      </c>
      <c r="L18" s="184">
        <f t="shared" si="15"/>
        <v>2062</v>
      </c>
      <c r="M18" s="184">
        <f t="shared" si="15"/>
        <v>476</v>
      </c>
      <c r="N18" s="184">
        <f t="shared" si="15"/>
        <v>4179</v>
      </c>
      <c r="O18" s="184">
        <f t="shared" si="15"/>
        <v>0</v>
      </c>
      <c r="P18" s="184">
        <f t="shared" si="15"/>
        <v>93</v>
      </c>
      <c r="Q18" s="184">
        <f t="shared" si="15"/>
        <v>111</v>
      </c>
      <c r="R18" s="184">
        <f t="shared" si="15"/>
        <v>274</v>
      </c>
      <c r="S18" s="184">
        <f t="shared" si="15"/>
        <v>1002</v>
      </c>
      <c r="T18" s="184">
        <f t="shared" si="15"/>
        <v>6739</v>
      </c>
      <c r="U18" s="184">
        <f t="shared" si="15"/>
        <v>6442</v>
      </c>
      <c r="V18" s="184">
        <f t="shared" si="15"/>
        <v>1304</v>
      </c>
      <c r="W18" s="184">
        <f t="shared" si="15"/>
        <v>474</v>
      </c>
      <c r="X18" s="184">
        <f t="shared" si="15"/>
        <v>4612</v>
      </c>
      <c r="Y18" s="184">
        <f t="shared" si="15"/>
        <v>0</v>
      </c>
      <c r="Z18" s="184">
        <f t="shared" si="15"/>
        <v>0</v>
      </c>
      <c r="AA18" s="184">
        <f t="shared" si="15"/>
        <v>0</v>
      </c>
      <c r="AB18" s="184">
        <f t="shared" si="15"/>
        <v>0</v>
      </c>
      <c r="AC18" s="184">
        <f t="shared" si="15"/>
        <v>2</v>
      </c>
      <c r="AD18" s="184">
        <f t="shared" si="15"/>
        <v>134</v>
      </c>
      <c r="AE18" s="184">
        <f t="shared" si="15"/>
        <v>131</v>
      </c>
      <c r="AF18" s="184">
        <f t="shared" si="15"/>
        <v>5</v>
      </c>
      <c r="AG18" s="184">
        <f t="shared" si="15"/>
        <v>0</v>
      </c>
      <c r="AH18" s="184">
        <f t="shared" si="15"/>
        <v>0</v>
      </c>
      <c r="AI18" s="184">
        <f t="shared" si="15"/>
        <v>0</v>
      </c>
      <c r="AJ18" s="184">
        <f t="shared" si="15"/>
        <v>0</v>
      </c>
      <c r="AK18" s="184">
        <f t="shared" si="15"/>
        <v>0</v>
      </c>
      <c r="AL18" s="184">
        <f t="shared" si="15"/>
        <v>64</v>
      </c>
      <c r="AM18" s="184">
        <f t="shared" si="15"/>
        <v>62</v>
      </c>
      <c r="AN18" s="184">
        <f t="shared" si="15"/>
        <v>2</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1002</v>
      </c>
      <c r="AZ18" s="184">
        <f>SUBTOTAL(9,AZ14:AZ17)</f>
        <v>6739</v>
      </c>
      <c r="BA18" s="184">
        <f>SUBTOTAL(9,BA14:BA17)</f>
        <v>6442</v>
      </c>
      <c r="BB18" s="184">
        <f>SUBTOTAL(9,BB14:BB17)</f>
        <v>1304</v>
      </c>
      <c r="BC18" s="184">
        <f>SUBTOTAL(9,BC14:BC17)</f>
        <v>474</v>
      </c>
      <c r="BD18" s="205">
        <f>IF(ISNUMBER(BA18/AZ18),BA18/AZ18," - ")</f>
        <v>0.95592817925508233</v>
      </c>
      <c r="BE18" s="206">
        <f>IF(ISNUMBER(BB18/BA18),BB18/BA18, " - ")</f>
        <v>0.20242160819621235</v>
      </c>
      <c r="BF18" s="206">
        <f>IF(ISNUMBER(BC18/BA18),BC18/BA18, " - ")</f>
        <v>7.3579633654144674E-2</v>
      </c>
      <c r="BG18" s="207">
        <f>IF(ISNUMBER((AY18+AZ18)/BA18),(AY18+AZ18)/BA18," - ")</f>
        <v>1.2016454517230675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7972</v>
      </c>
      <c r="J19" s="134">
        <f t="shared" si="18"/>
        <v>12434</v>
      </c>
      <c r="K19" s="134">
        <f t="shared" si="18"/>
        <v>12537</v>
      </c>
      <c r="L19" s="134">
        <f t="shared" si="18"/>
        <v>7965</v>
      </c>
      <c r="M19" s="134">
        <f t="shared" si="18"/>
        <v>1900</v>
      </c>
      <c r="N19" s="134">
        <f t="shared" si="18"/>
        <v>7597</v>
      </c>
      <c r="O19" s="134">
        <f t="shared" si="18"/>
        <v>2108</v>
      </c>
      <c r="P19" s="134">
        <f t="shared" si="18"/>
        <v>1262</v>
      </c>
      <c r="Q19" s="134">
        <f t="shared" si="18"/>
        <v>1223</v>
      </c>
      <c r="R19" s="134">
        <f t="shared" si="18"/>
        <v>4957</v>
      </c>
      <c r="S19" s="134">
        <f t="shared" si="18"/>
        <v>7251</v>
      </c>
      <c r="T19" s="134">
        <f t="shared" si="18"/>
        <v>13953</v>
      </c>
      <c r="U19" s="134">
        <f t="shared" si="18"/>
        <v>13237</v>
      </c>
      <c r="V19" s="134">
        <f t="shared" si="18"/>
        <v>7972</v>
      </c>
      <c r="W19" s="134">
        <f t="shared" si="18"/>
        <v>2099</v>
      </c>
      <c r="X19" s="134">
        <f t="shared" si="18"/>
        <v>7812</v>
      </c>
      <c r="Y19" s="134">
        <f t="shared" si="18"/>
        <v>148</v>
      </c>
      <c r="Z19" s="134">
        <f t="shared" si="18"/>
        <v>224</v>
      </c>
      <c r="AA19" s="134">
        <f t="shared" si="18"/>
        <v>196</v>
      </c>
      <c r="AB19" s="134">
        <f t="shared" si="18"/>
        <v>176</v>
      </c>
      <c r="AC19" s="134">
        <f t="shared" si="18"/>
        <v>2</v>
      </c>
      <c r="AD19" s="134">
        <f t="shared" si="18"/>
        <v>134</v>
      </c>
      <c r="AE19" s="134">
        <f t="shared" si="18"/>
        <v>131</v>
      </c>
      <c r="AF19" s="134">
        <f t="shared" si="18"/>
        <v>5</v>
      </c>
      <c r="AG19" s="134">
        <f t="shared" si="18"/>
        <v>122</v>
      </c>
      <c r="AH19" s="134">
        <f t="shared" si="18"/>
        <v>318</v>
      </c>
      <c r="AI19" s="134">
        <f t="shared" si="18"/>
        <v>292</v>
      </c>
      <c r="AJ19" s="134">
        <f t="shared" si="18"/>
        <v>148</v>
      </c>
      <c r="AK19" s="134">
        <f t="shared" si="18"/>
        <v>0</v>
      </c>
      <c r="AL19" s="134">
        <f t="shared" si="18"/>
        <v>64</v>
      </c>
      <c r="AM19" s="134">
        <f t="shared" si="18"/>
        <v>62</v>
      </c>
      <c r="AN19" s="210">
        <f t="shared" si="18"/>
        <v>2</v>
      </c>
      <c r="AO19" s="211">
        <v>6</v>
      </c>
      <c r="AP19" s="211">
        <v>5</v>
      </c>
      <c r="AQ19" s="211">
        <v>5</v>
      </c>
      <c r="AR19" s="211">
        <v>5</v>
      </c>
      <c r="AS19" s="153">
        <f t="shared" si="18"/>
        <v>0</v>
      </c>
      <c r="AT19" s="153">
        <f t="shared" si="18"/>
        <v>0</v>
      </c>
      <c r="AU19" s="211"/>
      <c r="AV19" s="212"/>
      <c r="AW19" s="211"/>
      <c r="AX19" s="212"/>
      <c r="AY19" s="133">
        <f>SUBTOTAL(9,AY9:AY18)</f>
        <v>7373</v>
      </c>
      <c r="AZ19" s="134">
        <f>SUBTOTAL(9,AZ9:AZ18)</f>
        <v>14271</v>
      </c>
      <c r="BA19" s="134">
        <f>SUBTOTAL(9,BA9:BA18)</f>
        <v>13529</v>
      </c>
      <c r="BB19" s="134">
        <f>SUBTOTAL(9,BB9:BB18)</f>
        <v>8120</v>
      </c>
      <c r="BC19" s="135">
        <f>SUBTOTAL(9,BC9:BC18)</f>
        <v>3692</v>
      </c>
      <c r="BD19" s="213">
        <f>IF(ISNUMBER(BA19/AZ19),BA19/AZ19," - ")</f>
        <v>0.94800644664003919</v>
      </c>
      <c r="BE19" s="210">
        <f>IF(ISNUMBER(BB19/BA19),BB19/BA19, " - ")</f>
        <v>0.60019217976199279</v>
      </c>
      <c r="BF19" s="210">
        <f>IF(ISNUMBER(BC19/BA19),BC19/BA19, " - ")</f>
        <v>0.27289526202971393</v>
      </c>
      <c r="BG19" s="135">
        <f>IF(ISNUMBER((AY19+AZ19)/BA19),(AY19+AZ19)/BA19," - ")</f>
        <v>1.5998226032966221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fQ3/rg++Tqv+pVCkwXGx4e/9ywVr2mfHqXxBobXqloRgd8c1xCKPQOyrw5n+06LvK2nx00Lhq2Bw4btAnkQhg==" saltValue="GKjYQVy66nXRjqleGAknK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LlKx6YJB9rak/1jwLKtNTrqJJ2ZTZ5EQq6lUGsR6cAOnvV49Sjlqpns7Ymec/cdBQ6IlH7oL0lx/gasFQQPng==" saltValue="YA/VhYi//inhfto6OQEwS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CORNELLA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122</v>
      </c>
      <c r="G10" s="333">
        <f>IF(ISNUMBER(Datos!I10),Datos!I10," - ")</f>
        <v>122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91</v>
      </c>
      <c r="AC10" s="226">
        <f>IF(ISNUMBER(Datos!Q10),Datos!Q10," - ")</f>
        <v>9</v>
      </c>
      <c r="AD10" s="334"/>
      <c r="AE10" s="484"/>
      <c r="AF10" s="332">
        <f>IF(ISNUMBER(Datos!L10),Datos!L10,"-")</f>
        <v>138</v>
      </c>
      <c r="AG10" s="334"/>
      <c r="AH10" s="334"/>
      <c r="AI10" s="334"/>
      <c r="AJ10" s="334"/>
      <c r="AK10" s="334"/>
      <c r="AL10" s="479"/>
      <c r="AM10" s="335">
        <f>IF(ISNUMBER(Datos!R10),Datos!R10," - ")</f>
        <v>19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39</v>
      </c>
      <c r="BD10" s="229">
        <f>IF(ISNUMBER(Datos!N10),Datos!N10," - ")</f>
        <v>28</v>
      </c>
      <c r="BE10" s="229" t="str">
        <f>IF(ISNUMBER(Datos!BW10),Datos!BW10," - ")</f>
        <v xml:space="preserve"> - </v>
      </c>
      <c r="BF10" s="228" t="str">
        <f>IF(ISNUMBER(Datos!BX10),Datos!BX10," - ")</f>
        <v xml:space="preserve"> - </v>
      </c>
      <c r="BG10" s="243">
        <f>IF(ISNUMBER(Datos!K10/Datos!J10),Datos!K10/Datos!J10," - ")</f>
        <v>0.85046728971962615</v>
      </c>
      <c r="BH10" s="260">
        <f>IF(ISNUMBER(((Datos!L10/Datos!K10)*11)/factor_trimestre),((Datos!L10/Datos!K10)*11)/factor_trimestre," - ")</f>
        <v>16.681318681318679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-9.5238095238095233E-2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224</v>
      </c>
      <c r="O12" s="334"/>
      <c r="P12" s="334"/>
      <c r="Q12" s="226">
        <f>IF(ISNUMBER(Datos!P12),Datos!P12,0)</f>
        <v>1162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1103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176</v>
      </c>
      <c r="AI12" s="334" t="str">
        <f>IF(ISNUMBER(Datos!CD12),Datos!CD12,"-")</f>
        <v>-</v>
      </c>
      <c r="AJ12" s="334" t="str">
        <f>IF(ISNUMBER(Datos!EN12),Datos!EN12," - ")</f>
        <v xml:space="preserve"> - </v>
      </c>
      <c r="AK12" s="334"/>
      <c r="AL12" s="479"/>
      <c r="AM12" s="335">
        <f>IF(ISNUMBER(Datos!R12),Datos!R12," - ")</f>
        <v>4664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1385</v>
      </c>
      <c r="BD12" s="229">
        <f>IF(ISNUMBER(Datos!N12),Datos!N12," - ")</f>
        <v>3390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1.1436595744680851</v>
      </c>
      <c r="BH12" s="260">
        <f>IF(ISNUMBER(((IF(J_V="SI",Datos!L12/Datos!K12,(Datos!L12+Datos!AB12)/(Datos!K12+Datos!AA12)))*11)/factor_trimestre),((IF(J_V="SI",Datos!L12/Datos!K12,(Datos!L12+Datos!AB12)/(Datos!K12+Datos!AA12)))*11)/factor_trimestre," - ")</f>
        <v>9.7262985563327877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1.2812160694896851E-2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122</v>
      </c>
      <c r="G13" s="898">
        <f t="shared" si="0"/>
        <v>122</v>
      </c>
      <c r="H13" s="899">
        <f t="shared" si="0"/>
        <v>0</v>
      </c>
      <c r="I13" s="898">
        <f t="shared" si="0"/>
        <v>0</v>
      </c>
      <c r="J13" s="867">
        <f t="shared" si="0"/>
        <v>0</v>
      </c>
      <c r="K13" s="867">
        <f t="shared" si="0"/>
        <v>0</v>
      </c>
      <c r="L13" s="899">
        <f t="shared" si="0"/>
        <v>0</v>
      </c>
      <c r="M13" s="899">
        <f t="shared" si="0"/>
        <v>0</v>
      </c>
      <c r="N13" s="899">
        <f t="shared" si="0"/>
        <v>224</v>
      </c>
      <c r="O13" s="900">
        <f t="shared" si="0"/>
        <v>0</v>
      </c>
      <c r="P13" s="900">
        <f t="shared" si="0"/>
        <v>0</v>
      </c>
      <c r="Q13" s="899">
        <f t="shared" si="0"/>
        <v>1169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91</v>
      </c>
      <c r="AC13" s="899">
        <f t="shared" si="1"/>
        <v>1112</v>
      </c>
      <c r="AD13" s="899">
        <f t="shared" si="1"/>
        <v>0</v>
      </c>
      <c r="AE13" s="899">
        <f t="shared" si="1"/>
        <v>0</v>
      </c>
      <c r="AF13" s="899">
        <f t="shared" si="1"/>
        <v>138</v>
      </c>
      <c r="AG13" s="899">
        <f t="shared" si="1"/>
        <v>0</v>
      </c>
      <c r="AH13" s="899">
        <f t="shared" si="1"/>
        <v>176</v>
      </c>
      <c r="AI13" s="899">
        <f t="shared" si="1"/>
        <v>0</v>
      </c>
      <c r="AJ13" s="899">
        <f t="shared" si="1"/>
        <v>0</v>
      </c>
      <c r="AK13" s="899">
        <f t="shared" si="1"/>
        <v>0</v>
      </c>
      <c r="AL13" s="899">
        <f t="shared" si="1"/>
        <v>0</v>
      </c>
      <c r="AM13" s="899">
        <f t="shared" si="1"/>
        <v>4683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1424</v>
      </c>
      <c r="BD13" s="899">
        <f t="shared" si="1"/>
        <v>3418</v>
      </c>
      <c r="BE13" s="899">
        <f t="shared" si="1"/>
        <v>0</v>
      </c>
      <c r="BF13" s="899">
        <f t="shared" si="1"/>
        <v>0</v>
      </c>
      <c r="BG13" s="899">
        <f>IF(ISNUMBER(Datos!K13/Datos!J13),Datos!K13/Datos!J13," - ")</f>
        <v>1.1486627301146231</v>
      </c>
      <c r="BH13" s="903">
        <f>IF(ISNUMBER(((Datos!L13/Datos!K13)*11)/factor_trimestre),((Datos!L13/Datos!K13)*11)/factor_trimestre," - ")</f>
        <v>9.8175083156939831</v>
      </c>
      <c r="BI13" s="899">
        <f>IF(ISNUMBER('Resol  Asuntos'!D13/NºAsuntos!G13),'Resol  Asuntos'!D13/NºAsuntos!G13," - ")</f>
        <v>0.2091042584434655</v>
      </c>
      <c r="BJ13" s="899" t="str">
        <f>IF(ISNUMBER(Datos!CI13/Datos!CJ13),Datos!CI13/Datos!CJ13," - ")</f>
        <v xml:space="preserve"> - </v>
      </c>
      <c r="BK13" s="899">
        <f>SUBTOTAL(9,BK8:BK12)</f>
        <v>0</v>
      </c>
      <c r="BL13" s="899">
        <f>IF(ISNUMBER((I13-AB13+L13)/(F13)),(I13-AB13+L13)/(F13)," - ")</f>
        <v>-0.74590163934426235</v>
      </c>
      <c r="BM13" s="904">
        <f>SUBTOTAL(9,BM9:BM12)</f>
        <v>-8.2425934543198381E-2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1196</v>
      </c>
      <c r="G16" s="598">
        <f>IF(ISNUMBER(IF(D_I="SI",Datos!I16,Datos!I16+Datos!AC16)),IF(D_I="SI",Datos!I16,Datos!I16+Datos!AC16)," - ")</f>
        <v>1191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5474</v>
      </c>
      <c r="AC16" s="226">
        <f>IF(ISNUMBER(Datos!Q16),Datos!Q16," - ")</f>
        <v>97</v>
      </c>
      <c r="AD16" s="334"/>
      <c r="AE16" s="484"/>
      <c r="AF16" s="596">
        <f>IF(ISNUMBER(IF(D_I="SI",Datos!L16,Datos!L16+Datos!AF16)),IF(D_I="SI",Datos!L16,Datos!L16+Datos!AF16)," - ")</f>
        <v>1939</v>
      </c>
      <c r="AG16" s="334"/>
      <c r="AH16" s="334"/>
      <c r="AI16" s="334"/>
      <c r="AJ16" s="334"/>
      <c r="AK16" s="334"/>
      <c r="AL16" s="479"/>
      <c r="AM16" s="335">
        <f>IF(ISNUMBER(Datos!R16),Datos!R16," - ")</f>
        <v>273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460</v>
      </c>
      <c r="BD16" s="229">
        <f>IF(ISNUMBER(Datos!N16),Datos!N16," - ")</f>
        <v>4009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0.8804889818240309</v>
      </c>
      <c r="BH16" s="260">
        <f>IF(ISNUMBER(((IF(D_I="SI",Datos!L16/Datos!K16,(Datos!L16+Datos!AF16)/(Datos!K16+Datos!AE16)))*11)/factor_trimestre),((IF(D_I="SI",Datos!L16/Datos!K16,(Datos!L16+Datos!AF16)/(Datos!K16+Datos!AE16)))*11)/factor_trimestre," - ")</f>
        <v>3.8964194373401533</v>
      </c>
      <c r="BI16" s="243">
        <f>IF(ISNUMBER('Resol  Asuntos'!D16/NºAsuntos!G16),'Resol  Asuntos'!D16/NºAsuntos!G16," - ")</f>
        <v>8.4033613445378158E-2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449</v>
      </c>
      <c r="AC17" s="226">
        <f>IF(ISNUMBER(Datos!Q17),Datos!Q17," - ")</f>
        <v>14</v>
      </c>
      <c r="AD17" s="334"/>
      <c r="AE17" s="484"/>
      <c r="AF17" s="332">
        <f>IF(ISNUMBER(Datos!L17),Datos!L17,"-")</f>
        <v>123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170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0.97821350762527237</v>
      </c>
      <c r="BH17" s="260">
        <f>IF(ISNUMBER(((IF(D_I="SI",Datos!L17/Datos!K17,(Datos!L17+Datos!AF17)/(Datos!K17+Datos!AE17)))*11)/factor_trimestre),((IF(D_I="SI",Datos!L17/Datos!K17,(Datos!L17+Datos!AF17)/(Datos!K17+Datos!AE17)))*11)/factor_trimestre," - ")</f>
        <v>3.0133630289532296</v>
      </c>
      <c r="BI17" s="243">
        <f>IF(ISNUMBER('Resol  Asuntos'!D17/NºAsuntos!G17),'Resol  Asuntos'!D17/NºAsuntos!G17," - ")</f>
        <v>3.5634743875278395E-2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1196</v>
      </c>
      <c r="G18" s="898">
        <f>SUBTOTAL(9,G15:G17)</f>
        <v>1304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5923</v>
      </c>
      <c r="AC18" s="899">
        <f t="shared" si="4"/>
        <v>111</v>
      </c>
      <c r="AD18" s="899">
        <f t="shared" si="4"/>
        <v>0</v>
      </c>
      <c r="AE18" s="899">
        <f t="shared" si="4"/>
        <v>0</v>
      </c>
      <c r="AF18" s="899">
        <f t="shared" si="4"/>
        <v>2062</v>
      </c>
      <c r="AG18" s="899">
        <f t="shared" si="4"/>
        <v>0</v>
      </c>
      <c r="AH18" s="899">
        <f t="shared" si="4"/>
        <v>0</v>
      </c>
      <c r="AI18" s="899">
        <f t="shared" si="4"/>
        <v>0</v>
      </c>
      <c r="AJ18" s="899">
        <f t="shared" si="4"/>
        <v>0</v>
      </c>
      <c r="AK18" s="899">
        <f t="shared" si="4"/>
        <v>0</v>
      </c>
      <c r="AL18" s="899">
        <f t="shared" si="4"/>
        <v>0</v>
      </c>
      <c r="AM18" s="899">
        <f t="shared" si="4"/>
        <v>274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476</v>
      </c>
      <c r="BD18" s="899">
        <f t="shared" si="4"/>
        <v>4179</v>
      </c>
      <c r="BE18" s="899">
        <f t="shared" si="4"/>
        <v>0</v>
      </c>
      <c r="BF18" s="899">
        <f t="shared" si="4"/>
        <v>0</v>
      </c>
      <c r="BG18" s="899">
        <f>IF(ISNUMBER(Datos!K18/Datos!J18),Datos!K18/Datos!J18," - ")</f>
        <v>0.88720790892750145</v>
      </c>
      <c r="BH18" s="903">
        <f>IF(ISNUMBER(((Datos!L18/Datos!K18)*11)/factor_trimestre),((Datos!L18/Datos!K18)*11)/factor_trimestre," - ")</f>
        <v>3.8294783049130507</v>
      </c>
      <c r="BI18" s="899">
        <f>SUBTOTAL(9,BI15:BI17)</f>
        <v>0.11966835732065656</v>
      </c>
      <c r="BJ18" s="899">
        <f>SUBTOTAL(9,BJ15:BJ17)</f>
        <v>0</v>
      </c>
      <c r="BK18" s="899">
        <f>SUBTOTAL(9,BK15:BK17)</f>
        <v>0</v>
      </c>
      <c r="BL18" s="899">
        <f>IF(ISNUMBER((I18-AB18+L18)/(F18)),(I18-AB18+L18)/(F18)," - ")</f>
        <v>-4.9523411371237458</v>
      </c>
      <c r="BM18" s="905">
        <f>IF(ISNUMBER((Datos!P18-Datos!Q18)/(Datos!R18-Datos!P18+Datos!Q18)),(Datos!P18-Datos!Q18)/(Datos!R18-Datos!P18+Datos!Q18)," - ")</f>
        <v>-6.1643835616438353E-2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1318</v>
      </c>
      <c r="G19" s="820">
        <f t="shared" si="6"/>
        <v>1426</v>
      </c>
      <c r="H19" s="822">
        <f t="shared" si="6"/>
        <v>0</v>
      </c>
      <c r="I19" s="820">
        <f t="shared" si="6"/>
        <v>0</v>
      </c>
      <c r="J19" s="822">
        <f t="shared" si="6"/>
        <v>0</v>
      </c>
      <c r="K19" s="822">
        <f t="shared" si="6"/>
        <v>0</v>
      </c>
      <c r="L19" s="881">
        <f t="shared" si="6"/>
        <v>0</v>
      </c>
      <c r="M19" s="881">
        <f t="shared" si="6"/>
        <v>0</v>
      </c>
      <c r="N19" s="881">
        <f t="shared" si="6"/>
        <v>224</v>
      </c>
      <c r="O19" s="881">
        <f t="shared" si="6"/>
        <v>0</v>
      </c>
      <c r="P19" s="881">
        <f t="shared" si="6"/>
        <v>0</v>
      </c>
      <c r="Q19" s="822">
        <f t="shared" si="6"/>
        <v>1262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6014</v>
      </c>
      <c r="AC19" s="821">
        <f t="shared" si="7"/>
        <v>1223</v>
      </c>
      <c r="AD19" s="821">
        <f t="shared" si="7"/>
        <v>0</v>
      </c>
      <c r="AE19" s="821">
        <f t="shared" si="7"/>
        <v>0</v>
      </c>
      <c r="AF19" s="828">
        <f t="shared" si="7"/>
        <v>2200</v>
      </c>
      <c r="AG19" s="828">
        <f t="shared" si="7"/>
        <v>0</v>
      </c>
      <c r="AH19" s="828">
        <f t="shared" si="7"/>
        <v>176</v>
      </c>
      <c r="AI19" s="828">
        <f t="shared" si="7"/>
        <v>0</v>
      </c>
      <c r="AJ19" s="821">
        <f t="shared" si="7"/>
        <v>0</v>
      </c>
      <c r="AK19" s="828">
        <f t="shared" si="7"/>
        <v>0</v>
      </c>
      <c r="AL19" s="828">
        <f t="shared" si="7"/>
        <v>0</v>
      </c>
      <c r="AM19" s="828">
        <f t="shared" si="7"/>
        <v>4957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1900</v>
      </c>
      <c r="BD19" s="820">
        <f t="shared" si="7"/>
        <v>7597</v>
      </c>
      <c r="BE19" s="820">
        <f t="shared" si="7"/>
        <v>0</v>
      </c>
      <c r="BF19" s="830">
        <f t="shared" si="7"/>
        <v>0</v>
      </c>
      <c r="BG19" s="915">
        <f>IF(ISNUMBER(Datos!K19/Datos!J19),Datos!K19/Datos!J19," - ")</f>
        <v>1.0082837381373653</v>
      </c>
      <c r="BH19" s="915">
        <f>IF(ISNUMBER(((Datos!L19/Datos!K19)*11)/factor_trimestre),((Datos!L19/Datos!K19)*11)/factor_trimestre," - ")</f>
        <v>6.9885139985642493</v>
      </c>
      <c r="BI19" s="813">
        <f>IF(ISNUMBER(Datos!J19/Datos!I19),Datos!J19/Datos!I19," - ")</f>
        <v>1.5597089814350227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-4.5629742033383911</v>
      </c>
      <c r="BM19" s="889">
        <f>IF(ISNUMBER((Datos!P19-Datos!Q19+R19)/(Datos!R19-Datos!P19+Datos!Q19-R19)),(Datos!P19-Datos!Q19+R19)/(Datos!R19-Datos!P19+Datos!Q19-R19)," - ")</f>
        <v>7.9300528670191127E-3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570.4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620.07418910965805</v>
      </c>
      <c r="G21" s="552">
        <f>IF(ISNUMBER(STDEV(G8:G18)),STDEV(G8:G18),"-")</f>
        <v>619.40560217033874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3013.7273931130535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629.1720485421032</v>
      </c>
      <c r="BD21" s="551"/>
      <c r="BE21" s="551">
        <f>IF(ISNUMBER(STDEV(BE8:BE18)),STDEV(BE8:BE18),"-")</f>
        <v>0</v>
      </c>
      <c r="BF21" s="556">
        <f>IF(ISNUMBER(STDEV(BF8:BF18)),STDEV(BF8:BF18),"-")</f>
        <v>0</v>
      </c>
      <c r="BG21" s="775">
        <f>IF(ISNUMBER(STDEV(BG8:BG18)),STDEV(BG8:BG18),"-")</f>
        <v>0.13454641381889942</v>
      </c>
      <c r="BH21" s="776">
        <f>IF(ISNUMBER(STDEV(BH8:BH18)),STDEV(BH8:BH18),"-")</f>
        <v>5.3022478416888701</v>
      </c>
      <c r="BI21" s="249">
        <f>IF(ISNUMBER(STDEV(BI8:BI18)),STDEV(BI8:BI18),"-")</f>
        <v>7.3261547934902638E-2</v>
      </c>
      <c r="BJ21" s="230" t="str">
        <f>IF(ISNUMBER(BL21/BM21),BL21/BM21," - ")</f>
        <v xml:space="preserve"> - </v>
      </c>
      <c r="BK21" s="575"/>
      <c r="BL21" s="559">
        <f>IF(ISNUMBER(STDEV(BL8:BL18)),STDEV(BL8:BL18),"-")</f>
        <v>2.9744018935308079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9DokWOANf8PcRNAQxeOxQLpGbBh019ICsUE7/ncVTSaLU1hvSPA7wEYoT6VHR6oWvKdVOh2WIskEmeX68K+A3w==" saltValue="2g4zAyka1eWbAbsm8xF+M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CORNELLA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122</v>
      </c>
      <c r="G10" s="225">
        <f>IF(ISNUMBER(Datos!I10),Datos!I10," - ")</f>
        <v>122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91</v>
      </c>
      <c r="Z10" s="619">
        <f>IF(ISNUMBER(Datos!Q10),Datos!Q10," - ")</f>
        <v>9</v>
      </c>
      <c r="AA10" s="332">
        <f>IF(ISNUMBER(Datos!L10),Datos!L10,"-")</f>
        <v>138</v>
      </c>
      <c r="AB10" s="334"/>
      <c r="AC10" s="334"/>
      <c r="AD10" s="484"/>
      <c r="AE10" s="484">
        <f>IF(ISNUMBER(Datos!R10),Datos!R10," - ")</f>
        <v>19</v>
      </c>
      <c r="AF10" s="229" t="str">
        <f>IF(ISNUMBER(Datos!BV10),Datos!BV10," - ")</f>
        <v xml:space="preserve"> - </v>
      </c>
      <c r="AG10" s="225" t="str">
        <f>IF(ISNUMBER(Datos!DV10),Datos!DV10," - ")</f>
        <v xml:space="preserve"> - </v>
      </c>
      <c r="AH10" s="298"/>
      <c r="AI10" s="227"/>
      <c r="AJ10" s="225">
        <f>IF(ISNUMBER(Datos!M10),Datos!M10," - ")</f>
        <v>39</v>
      </c>
      <c r="AK10" s="229">
        <f>IF(ISNUMBER(Datos!N10),Datos!N10," - ")</f>
        <v>28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16.681318681318679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-9.5238095238095233E-2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1162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1103</v>
      </c>
      <c r="AA12" s="332" t="str">
        <f>IF(ISNUMBER(IF(J_V="SI",Datos!L12,Datos!L12+Datos!AB12)-IF(Monitorios="SI",Datos!CD12,0)),
                          IF(J_V="SI",Datos!L12,Datos!L12+Datos!AB12)-IF(Monitorios="SI",Datos!CD12,0),
                          " - ")</f>
        <v xml:space="preserve"> - </v>
      </c>
      <c r="AB12" s="334"/>
      <c r="AC12" s="334"/>
      <c r="AD12" s="484"/>
      <c r="AE12" s="484">
        <f>IF(ISNUMBER(Datos!R12),Datos!R12," - ")</f>
        <v>4664</v>
      </c>
      <c r="AF12" s="229" t="str">
        <f>IF(ISNUMBER(Datos!BV12),Datos!BV12," - ")</f>
        <v xml:space="preserve"> - </v>
      </c>
      <c r="AG12" s="225" t="str">
        <f>IF(ISNUMBER(Datos!DV12),Datos!DV12," - ")</f>
        <v xml:space="preserve"> - </v>
      </c>
      <c r="AH12" s="298"/>
      <c r="AI12" s="227"/>
      <c r="AJ12" s="225">
        <f>IF(ISNUMBER(Datos!M12),Datos!M12," - ")</f>
        <v>1385</v>
      </c>
      <c r="AK12" s="229">
        <f>IF(ISNUMBER(Datos!N12),Datos!N12," - ")</f>
        <v>3390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9.7262985563327877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1.2812160694896851E-2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122</v>
      </c>
      <c r="G13" s="898">
        <f>SUBTOTAL(9,G8:G12)</f>
        <v>122</v>
      </c>
      <c r="H13" s="908"/>
      <c r="I13" s="898">
        <f t="shared" ref="I13:N13" si="0">SUBTOTAL(9,I8:I12)</f>
        <v>0</v>
      </c>
      <c r="J13" s="867">
        <f t="shared" si="0"/>
        <v>0</v>
      </c>
      <c r="K13" s="908">
        <f t="shared" si="0"/>
        <v>0</v>
      </c>
      <c r="L13" s="908">
        <f t="shared" si="0"/>
        <v>0</v>
      </c>
      <c r="M13" s="908">
        <f t="shared" si="0"/>
        <v>0</v>
      </c>
      <c r="N13" s="908">
        <f t="shared" si="0"/>
        <v>1169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91</v>
      </c>
      <c r="Z13" s="907">
        <f t="shared" si="2"/>
        <v>1112</v>
      </c>
      <c r="AA13" s="900">
        <f t="shared" si="2"/>
        <v>138</v>
      </c>
      <c r="AB13" s="900">
        <f t="shared" si="2"/>
        <v>0</v>
      </c>
      <c r="AC13" s="900">
        <f t="shared" si="2"/>
        <v>0</v>
      </c>
      <c r="AD13" s="900">
        <f t="shared" si="2"/>
        <v>0</v>
      </c>
      <c r="AE13" s="900">
        <f t="shared" si="2"/>
        <v>4683</v>
      </c>
      <c r="AF13" s="908">
        <f t="shared" si="2"/>
        <v>0</v>
      </c>
      <c r="AG13" s="908">
        <f t="shared" si="2"/>
        <v>0</v>
      </c>
      <c r="AH13" s="908">
        <f t="shared" si="2"/>
        <v>0</v>
      </c>
      <c r="AI13" s="908">
        <f t="shared" si="2"/>
        <v>0</v>
      </c>
      <c r="AJ13" s="908">
        <f t="shared" si="2"/>
        <v>1424</v>
      </c>
      <c r="AK13" s="908">
        <f t="shared" si="2"/>
        <v>3418</v>
      </c>
      <c r="AL13" s="908">
        <f t="shared" si="2"/>
        <v>0</v>
      </c>
      <c r="AM13" s="908">
        <f t="shared" si="2"/>
        <v>0</v>
      </c>
      <c r="AN13" s="908">
        <f t="shared" si="2"/>
        <v>0</v>
      </c>
      <c r="AO13" s="904">
        <f>IF(ISNUMBER(((NºAsuntos!I13/NºAsuntos!G13)*11)/factor_trimestre),((NºAsuntos!I13/NºAsuntos!G13)*11)/factor_trimestre," - ")</f>
        <v>9.8192364170337729</v>
      </c>
      <c r="AP13" s="910" t="str">
        <f>IF(ISNUMBER(Datos!CI13/Datos!CJ13),Datos!CI13/Datos!CJ13," - ")</f>
        <v xml:space="preserve"> - </v>
      </c>
      <c r="AQ13" s="928">
        <f t="shared" ref="AQ13:AV13" si="3">SUBTOTAL(9,AQ9:AQ12)</f>
        <v>0</v>
      </c>
      <c r="AR13" s="928">
        <f t="shared" si="3"/>
        <v>-8.2425934543198381E-2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1196</v>
      </c>
      <c r="G16" s="225">
        <f>IF(ISNUMBER(IF(D_I="SI",Datos!I16,Datos!I16+Datos!AC16)),IF(D_I="SI",Datos!I16,Datos!I16+Datos!AC16)," - ")</f>
        <v>1191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5474</v>
      </c>
      <c r="Z16" s="619">
        <f>IF(ISNUMBER(Datos!Q16),Datos!Q16," - ")</f>
        <v>97</v>
      </c>
      <c r="AA16" s="332">
        <f>IF(ISNUMBER(IF(D_I="SI",Datos!L16,Datos!L16+Datos!AF16)),IF(D_I="SI",Datos!L16,Datos!L16+Datos!AF16)," - ")</f>
        <v>1939</v>
      </c>
      <c r="AB16" s="334"/>
      <c r="AC16" s="334"/>
      <c r="AD16" s="484"/>
      <c r="AE16" s="484">
        <f>IF(ISNUMBER(Datos!R16),Datos!R16," - ")</f>
        <v>273</v>
      </c>
      <c r="AF16" s="229" t="str">
        <f>IF(ISNUMBER(Datos!BV16),Datos!BV16," - ")</f>
        <v xml:space="preserve"> - </v>
      </c>
      <c r="AG16" s="225"/>
      <c r="AH16" s="298"/>
      <c r="AI16" s="227"/>
      <c r="AJ16" s="225">
        <f>IF(ISNUMBER(Datos!M16),Datos!M16," - ")</f>
        <v>460</v>
      </c>
      <c r="AK16" s="229">
        <f>IF(ISNUMBER(Datos!N16),Datos!N16," - ")</f>
        <v>4009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3.8964194373401533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449</v>
      </c>
      <c r="Z17" s="619">
        <f>IF(ISNUMBER(Datos!Q17),Datos!Q17," - ")</f>
        <v>14</v>
      </c>
      <c r="AA17" s="332">
        <f>IF(ISNUMBER(Datos!L17),Datos!L17,"-")</f>
        <v>123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16</v>
      </c>
      <c r="AK17" s="229">
        <f>IF(ISNUMBER(Datos!N17),Datos!N17," - ")</f>
        <v>170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3.0133630289532296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1196</v>
      </c>
      <c r="G18" s="898">
        <f>SUBTOTAL(9,G15:G17)</f>
        <v>1304</v>
      </c>
      <c r="H18" s="932">
        <f>SUBTOTAL(9,H15:H17)</f>
        <v>0</v>
      </c>
      <c r="I18" s="911">
        <f>SUBTOTAL(9,I15:I17)</f>
        <v>0</v>
      </c>
      <c r="J18" s="867">
        <f>SUBTOTAL(9,J14:J17)</f>
        <v>0</v>
      </c>
      <c r="K18" s="932">
        <f t="shared" ref="K18:S18" si="4">SUBTOTAL(9,K15:K17)</f>
        <v>0</v>
      </c>
      <c r="L18" s="932">
        <f t="shared" si="4"/>
        <v>0</v>
      </c>
      <c r="M18" s="932">
        <f t="shared" si="4"/>
        <v>0</v>
      </c>
      <c r="N18" s="932">
        <f t="shared" si="4"/>
        <v>93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5923</v>
      </c>
      <c r="Z18" s="932">
        <f t="shared" si="5"/>
        <v>111</v>
      </c>
      <c r="AA18" s="932">
        <f t="shared" si="5"/>
        <v>2062</v>
      </c>
      <c r="AB18" s="932">
        <f t="shared" si="5"/>
        <v>0</v>
      </c>
      <c r="AC18" s="932">
        <f t="shared" si="5"/>
        <v>0</v>
      </c>
      <c r="AD18" s="932">
        <f t="shared" si="5"/>
        <v>0</v>
      </c>
      <c r="AE18" s="932">
        <f t="shared" si="5"/>
        <v>274</v>
      </c>
      <c r="AF18" s="932">
        <f t="shared" si="5"/>
        <v>0</v>
      </c>
      <c r="AG18" s="932">
        <f t="shared" si="5"/>
        <v>0</v>
      </c>
      <c r="AH18" s="932">
        <f t="shared" si="5"/>
        <v>0</v>
      </c>
      <c r="AI18" s="932">
        <f t="shared" si="5"/>
        <v>0</v>
      </c>
      <c r="AJ18" s="932">
        <f t="shared" si="5"/>
        <v>476</v>
      </c>
      <c r="AK18" s="932">
        <f t="shared" si="5"/>
        <v>4179</v>
      </c>
      <c r="AL18" s="932">
        <f t="shared" si="5"/>
        <v>0</v>
      </c>
      <c r="AM18" s="932">
        <f t="shared" si="5"/>
        <v>0</v>
      </c>
      <c r="AN18" s="932">
        <f t="shared" si="5"/>
        <v>0</v>
      </c>
      <c r="AO18" s="934">
        <f>IF(ISNUMBER(((NºAsuntos!I18/NºAsuntos!G18)*11)/factor_trimestre),((NºAsuntos!I18/NºAsuntos!G18)*11)/factor_trimestre," - ")</f>
        <v>3.8294783049130507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1318</v>
      </c>
      <c r="G19" s="820">
        <f t="shared" si="7"/>
        <v>1426</v>
      </c>
      <c r="H19" s="821">
        <f t="shared" si="7"/>
        <v>0</v>
      </c>
      <c r="I19" s="820">
        <f t="shared" si="7"/>
        <v>0</v>
      </c>
      <c r="J19" s="822">
        <f t="shared" si="7"/>
        <v>0</v>
      </c>
      <c r="K19" s="820">
        <f t="shared" si="7"/>
        <v>0</v>
      </c>
      <c r="L19" s="823">
        <f t="shared" si="7"/>
        <v>0</v>
      </c>
      <c r="M19" s="820">
        <f t="shared" si="7"/>
        <v>0</v>
      </c>
      <c r="N19" s="821">
        <f t="shared" si="7"/>
        <v>1262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6014</v>
      </c>
      <c r="Z19" s="827">
        <f t="shared" si="8"/>
        <v>1223</v>
      </c>
      <c r="AA19" s="828">
        <f t="shared" si="8"/>
        <v>2200</v>
      </c>
      <c r="AB19" s="828">
        <f t="shared" si="8"/>
        <v>0</v>
      </c>
      <c r="AC19" s="828">
        <f t="shared" si="8"/>
        <v>0</v>
      </c>
      <c r="AD19" s="829">
        <f t="shared" si="8"/>
        <v>0</v>
      </c>
      <c r="AE19" s="829">
        <f t="shared" si="8"/>
        <v>4957</v>
      </c>
      <c r="AF19" s="830">
        <f t="shared" si="8"/>
        <v>0</v>
      </c>
      <c r="AG19" s="831">
        <f t="shared" si="8"/>
        <v>0</v>
      </c>
      <c r="AH19" s="832">
        <f t="shared" si="8"/>
        <v>0</v>
      </c>
      <c r="AI19" s="830">
        <f t="shared" si="8"/>
        <v>0</v>
      </c>
      <c r="AJ19" s="820">
        <f t="shared" si="8"/>
        <v>1900</v>
      </c>
      <c r="AK19" s="820">
        <f t="shared" si="8"/>
        <v>7597</v>
      </c>
      <c r="AL19" s="820">
        <f t="shared" si="8"/>
        <v>0</v>
      </c>
      <c r="AM19" s="833">
        <f t="shared" si="8"/>
        <v>0</v>
      </c>
      <c r="AN19" s="823">
        <f>IF(ISNUMBER(Datos!K19/Datos!J19),Datos!K19/Datos!J19," - ")</f>
        <v>1.0082837381373653</v>
      </c>
      <c r="AO19" s="823">
        <f>IF(ISNUMBER(FIND("06",Criterios!A8,1)),(IF(ISNUMBER(((Datos!R19/Datos!Q19)*11)/factor_trimestre),((Datos!R19/Datos!Q19)*11)/factor_trimestre," - ")),(IF(ISNUMBER(((Datos!L19/Datos!K19)*11)/factor_trimestre),((Datos!L19/Datos!K19)*11)/factor_trimestre," - ")))</f>
        <v>6.9885139985642493</v>
      </c>
      <c r="AP19" s="834" t="str">
        <f>IF(ISNUMBER(Datos!CI19/Datos!CJ19),Datos!CI19/Datos!CJ19," - ")</f>
        <v xml:space="preserve"> - </v>
      </c>
      <c r="AQ19" s="834">
        <f>IF(OR(ISNUMBER(FIND("01",Criterios!A8,1)),ISNUMBER(FIND("02",Criterios!A8,1)),ISNUMBER(FIND("03",Criterios!A8,1)),ISNUMBER(FIND("04",Criterios!A8,1))),(J19-Y19+K19)/(F19-K19),(I19-Y19+K19)/(F19-K19))</f>
        <v>-4.5629742033383911</v>
      </c>
      <c r="AR19" s="834">
        <f>IF(ISNUMBER((Datos!P19-Datos!Q19+O19)/(Datos!R19-Datos!P19+Datos!Q19-O19)),(Datos!P19-Datos!Q19+O19)/(Datos!R19-Datos!P19+Datos!Q19-O19)," - ")</f>
        <v>7.9300528670191127E-3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570.4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620.07418910965805</v>
      </c>
      <c r="G21" s="552">
        <f>IF(ISNUMBER(STDEV(G8:G18)),STDEV(G8:G18),"-")</f>
        <v>619.40560217033874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629.1720485421032</v>
      </c>
      <c r="AK21" s="252"/>
      <c r="AL21" s="252">
        <f>IF(ISNUMBER(STDEV(AL8:AL18)),STDEV(AL8:AL18),"-")</f>
        <v>0</v>
      </c>
      <c r="AM21" s="254">
        <f>IF(ISNUMBER(STDEV(AM8:AM18)),STDEV(AM8:AM18),"-")</f>
        <v>0</v>
      </c>
      <c r="AN21" s="539">
        <f>IF(ISNUMBER(STDEV(AN8:AN18)),STDEV(AN8:AN18),"-")</f>
        <v>0</v>
      </c>
      <c r="AO21" s="540">
        <f>IF(ISNUMBER(STDEV(AO8:AO18)),STDEV(AO8:AO18),"-")</f>
        <v>5.3023776098586985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J8cPBuaAqV9fmrJnNpu6Yoy7hS5n2oOnnBIuqZfRA3/g4j2Wj0aN8L7qsxmCJRuLWp0NP3Uj9mKWCUBwu6WaQ==" saltValue="+oM3luQxakYCd4mUF+MsN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SzDuLWf22mAVT/eDD2UPLo5mybQ9f2BvKV1UYnTUDij+sa+KHEcMfhAKPQ5vRjemRfQ7pOZTJji3lnCxQzfcg==" saltValue="/LtiQTlRlE4aNpMbntv1G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aEgc5Q5xcRqLDEpdihZxnJZqpw4iiGtMZ1CF4uzAcXZUSgXiHDzzW6svnb1gm6d9yrxjMCJkos2QH0cjoJ2bw==" saltValue="7Xogd7lAYdAlFaKC+Ah4h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CORNELLA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0.2091042584434655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0.14785903912035883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LHdEMHOzLkIOaUDx/i+uixefWp/sZn/YdiOzTDnwXPC74ARsZ1+spSZvrL/s4FzbS5F+AhWp6KlSN2pxdhNkyg==" saltValue="OTqbtQOxRbkHiY03FqgCJ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0T/KJfhskCbLk0+itmfTeRK+oCmQSjXXDz3vQJ2ehAOrhWErWA0NiTP31A78SPntNmaEeV6xzzVW51kX+Cxjw==" saltValue="NyLIAIvseg45xczDhCqq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CORNELLA DE LLOBREGAT</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122</v>
      </c>
      <c r="D10" s="404">
        <f>IF(ISNUMBER(C10/Datos!BH10),C10/Datos!BH10," - ")</f>
        <v>122</v>
      </c>
      <c r="E10" s="403">
        <f>IF(ISNUMBER(Datos!J10),Datos!J10," - ")</f>
        <v>107</v>
      </c>
      <c r="F10" s="404">
        <f>IF(ISNUMBER(E10/B10),E10/B10," - ")</f>
        <v>107</v>
      </c>
      <c r="G10" s="403">
        <f>IF(ISNUMBER(Datos!K10),Datos!K10," - ")</f>
        <v>91</v>
      </c>
      <c r="H10" s="404">
        <f>IF(ISNUMBER(G10/B10),G10/B10," - ")</f>
        <v>91</v>
      </c>
      <c r="I10" s="403">
        <f>IF(ISNUMBER(Datos!L10),Datos!L10," - ")</f>
        <v>138</v>
      </c>
      <c r="J10" s="404">
        <f>IF(ISNUMBER(I10/B10),I10/B10," - ")</f>
        <v>138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6694</v>
      </c>
      <c r="D12" s="404">
        <f>IF(ISNUMBER(C12/Datos!BH12),C12/Datos!BH12," - ")</f>
        <v>1338.8</v>
      </c>
      <c r="E12" s="403">
        <f>IF(ISNUMBER(IF(J_V="SI",Datos!J12,Datos!J12+Datos!Z12)),IF(J_V="SI",Datos!J12,Datos!J12+Datos!Z12)," - ")</f>
        <v>5875</v>
      </c>
      <c r="F12" s="404">
        <f>IF(ISNUMBER(E12/B12),E12/B12," - ")</f>
        <v>1175</v>
      </c>
      <c r="G12" s="403">
        <f>IF(ISNUMBER(IF(J_V="SI",Datos!K12,Datos!K12+Datos!AA12)),IF(J_V="SI",Datos!K12,Datos!K12+Datos!AA12)," - ")</f>
        <v>6719</v>
      </c>
      <c r="H12" s="404">
        <f>IF(ISNUMBER(G12/B12),G12/B12," - ")</f>
        <v>1343.8</v>
      </c>
      <c r="I12" s="403">
        <f>IF(ISNUMBER(IF(J_V="SI",Datos!L12,Datos!L12+Datos!AB12)),IF(J_V="SI",Datos!L12,Datos!L12+Datos!AB12)," - ")</f>
        <v>5941</v>
      </c>
      <c r="J12" s="404">
        <f>IF(ISNUMBER(I12/B12),I12/B12," - ")</f>
        <v>1188.2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6816</v>
      </c>
      <c r="D13" s="850" t="str">
        <f>IF(ISNUMBER(C13/Datos!BI13),C13/Datos!BI13," - ")</f>
        <v xml:space="preserve"> - </v>
      </c>
      <c r="E13" s="849">
        <f>SUBTOTAL(9,E8:E12)</f>
        <v>5982</v>
      </c>
      <c r="F13" s="850">
        <f>IF(ISNUMBER(E13/B13),E13/B13," - ")</f>
        <v>1196.4000000000001</v>
      </c>
      <c r="G13" s="849">
        <f>SUBTOTAL(9,G8:G12)</f>
        <v>6810</v>
      </c>
      <c r="H13" s="850">
        <f>IF(ISNUMBER(G13/B13),G13/B13," - ")</f>
        <v>1362</v>
      </c>
      <c r="I13" s="849">
        <f>SUBTOTAL(9,I8:I12)</f>
        <v>6079</v>
      </c>
      <c r="J13" s="850">
        <f>IF(ISNUMBER(I13/B13),I13/B13," - ")</f>
        <v>1215.8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1191</v>
      </c>
      <c r="D16" s="404">
        <f>IF(ISNUMBER(C16/Datos!BH16),C16/Datos!BH16," - ")</f>
        <v>238.2</v>
      </c>
      <c r="E16" s="403">
        <f>IF(ISNUMBER(IF(D_I="SI",Datos!J16,Datos!J16+Datos!AD16)),IF(D_I="SI",Datos!J16,Datos!J16+Datos!AD16)," - ")</f>
        <v>6217</v>
      </c>
      <c r="F16" s="404">
        <f>IF(ISNUMBER(E16/B16),E16/B16," - ")</f>
        <v>1243.4000000000001</v>
      </c>
      <c r="G16" s="403">
        <f>IF(ISNUMBER(IF(D_I="SI",Datos!K16,Datos!K16+Datos!AE16)),IF(D_I="SI",Datos!K16,Datos!K16+Datos!AE16)," - ")</f>
        <v>5474</v>
      </c>
      <c r="H16" s="404">
        <f>IF(ISNUMBER(G16/B16),G16/B16," - ")</f>
        <v>1094.8</v>
      </c>
      <c r="I16" s="403">
        <f>IF(ISNUMBER(IF(D_I="SI",Datos!L16,Datos!L16+Datos!AF16)),IF(D_I="SI",Datos!L16,Datos!L16+Datos!AF16)," - ")</f>
        <v>1939</v>
      </c>
      <c r="J16" s="404">
        <f>IF(ISNUMBER(I16/B16),I16/B16," - ")</f>
        <v>387.8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113</v>
      </c>
      <c r="D17" s="404">
        <f>IF(ISNUMBER(C17/Datos!BH17),C17/Datos!BH17," - ")</f>
        <v>113</v>
      </c>
      <c r="E17" s="403">
        <f>IF(ISNUMBER(IF(D_I="SI",Datos!J17,Datos!J17+Datos!AD17)),IF(D_I="SI",Datos!J17,Datos!J17+Datos!AD17)," - ")</f>
        <v>459</v>
      </c>
      <c r="F17" s="404">
        <f>IF(ISNUMBER(E17/B17),E17/B17," - ")</f>
        <v>459</v>
      </c>
      <c r="G17" s="403">
        <f>IF(ISNUMBER(IF(D_I="SI",Datos!K17,Datos!K17+Datos!AE17)),IF(D_I="SI",Datos!K17,Datos!K17+Datos!AE17)," - ")</f>
        <v>449</v>
      </c>
      <c r="H17" s="404">
        <f>IF(ISNUMBER(G17/B17),G17/B17," - ")</f>
        <v>449</v>
      </c>
      <c r="I17" s="403">
        <f>IF(ISNUMBER(IF(D_I="SI",Datos!L17,Datos!L17+Datos!AF17)),IF(D_I="SI",Datos!L17,Datos!L17+Datos!AF17)," - ")</f>
        <v>123</v>
      </c>
      <c r="J17" s="404">
        <f>IF(ISNUMBER(I17/B17),I17/B17," - ")</f>
        <v>123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1304</v>
      </c>
      <c r="D18" s="850" t="str">
        <f>IF(ISNUMBER(C18/Datos!BI18),C18/Datos!BI18," - ")</f>
        <v xml:space="preserve"> - </v>
      </c>
      <c r="E18" s="849">
        <f>SUBTOTAL(9,E14:E17)</f>
        <v>6676</v>
      </c>
      <c r="F18" s="850">
        <f>IF(ISNUMBER(E18/B18),E18/B18," - ")</f>
        <v>1335.2</v>
      </c>
      <c r="G18" s="849">
        <f>SUBTOTAL(9,G14:G17)</f>
        <v>5923</v>
      </c>
      <c r="H18" s="850">
        <f>IF(ISNUMBER(G18/B18),G18/B18," - ")</f>
        <v>1184.5999999999999</v>
      </c>
      <c r="I18" s="849">
        <f>SUBTOTAL(9,I14:I17)</f>
        <v>2062</v>
      </c>
      <c r="J18" s="850">
        <f>IF(ISNUMBER(I18/B18),I18/B18," - ")</f>
        <v>412.4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8120</v>
      </c>
      <c r="D19" s="795" t="str">
        <f>IF(ISNUMBER(C19/Datos!BI19),C19/Datos!BI19," - ")</f>
        <v xml:space="preserve"> - </v>
      </c>
      <c r="E19" s="794">
        <f>SUBTOTAL(9,E9:E18)</f>
        <v>12658</v>
      </c>
      <c r="F19" s="795">
        <f>IF(ISNUMBER(E19/B19),E19/B19," - ")</f>
        <v>2531.6</v>
      </c>
      <c r="G19" s="794">
        <f>SUBTOTAL(9,G9:G18)</f>
        <v>12733</v>
      </c>
      <c r="H19" s="795">
        <f>IF(ISNUMBER(G19/B19),G19/B19," - ")</f>
        <v>2546.6</v>
      </c>
      <c r="I19" s="794">
        <f>SUBTOTAL(9,I9:I18)</f>
        <v>8141</v>
      </c>
      <c r="J19" s="795">
        <f>IF(ISNUMBER(I19/B19),I19/B19," - ")</f>
        <v>1628.2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XG/5RDRsO3YeoTwzZmDOO8DWyYyZ73cmjzWg6GIYMIr4kY+CSb2IZ8Gd82XSdZITOEvqVGmOqyhhyXXJqeAq6g==" saltValue="KqPoMPCkPseLknl5PDoWo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CORNELLA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122</v>
      </c>
      <c r="G10" s="684">
        <f>IF(ISNUMBER(Datos!I10),Datos!I10," - ")</f>
        <v>122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91</v>
      </c>
      <c r="AC10" s="683" t="str">
        <f>IF(ISNUMBER(IF(D_I="SI",DatosP!K17,DatosP!K17+DatosP!AE17)),IF(D_I="SI",DatosP!K17,DatosP!K17+DatosP!AE17)," - ")</f>
        <v xml:space="preserve"> - </v>
      </c>
      <c r="AD10" s="685"/>
      <c r="AE10" s="685"/>
      <c r="AF10" s="688">
        <f>IF(ISNUMBER(Datos!L10),Datos!L10,"-")</f>
        <v>138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39</v>
      </c>
      <c r="AM10" s="690">
        <f>IF(ISNUMBER(Datos!N10+DatosP!N17),Datos!N10+DatosP!N17," - ")</f>
        <v>28</v>
      </c>
      <c r="AN10" s="690">
        <f>IF(ISNUMBER(Datos!BW10+DatosP!BW17),Datos!BW10+DatosP!BW17," - ")</f>
        <v>0</v>
      </c>
      <c r="AO10" s="691">
        <f>IF(ISNUMBER(Datos!BX10+DatosP!BX17),Datos!BX10+DatosP!BX17," - ")</f>
        <v>0</v>
      </c>
      <c r="AP10" s="693">
        <f>IF(ISNUMBER(((Datos!L10/Datos!K10)*11)/factor_trimestre),((Datos!L10/Datos!K10)*11)/factor_trimestre," - ")</f>
        <v>16.681318681318679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1162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1103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1385</v>
      </c>
      <c r="AM12" s="690">
        <f>IF(ISNUMBER(Datos!N12+DatosP!N16),Datos!N12+DatosP!N16," - ")</f>
        <v>3390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9.7262985563327877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1.2812160694896851E-2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122</v>
      </c>
      <c r="G13" s="938">
        <f t="shared" si="0"/>
        <v>122</v>
      </c>
      <c r="H13" s="938">
        <f t="shared" si="0"/>
        <v>0</v>
      </c>
      <c r="I13" s="940">
        <f t="shared" si="0"/>
        <v>0</v>
      </c>
      <c r="J13" s="939">
        <f t="shared" si="0"/>
        <v>0</v>
      </c>
      <c r="K13" s="939">
        <f t="shared" si="0"/>
        <v>0</v>
      </c>
      <c r="L13" s="941">
        <f t="shared" si="0"/>
        <v>0</v>
      </c>
      <c r="M13" s="941">
        <f t="shared" si="0"/>
        <v>0</v>
      </c>
      <c r="N13" s="939">
        <f t="shared" si="0"/>
        <v>1169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91</v>
      </c>
      <c r="AC13" s="939">
        <f t="shared" si="1"/>
        <v>0</v>
      </c>
      <c r="AD13" s="939">
        <f t="shared" si="1"/>
        <v>1103</v>
      </c>
      <c r="AE13" s="939">
        <f t="shared" si="1"/>
        <v>0</v>
      </c>
      <c r="AF13" s="939">
        <f t="shared" si="1"/>
        <v>138</v>
      </c>
      <c r="AG13" s="939">
        <f t="shared" si="1"/>
        <v>0</v>
      </c>
      <c r="AH13" s="939">
        <f t="shared" si="1"/>
        <v>4664</v>
      </c>
      <c r="AI13" s="939">
        <f t="shared" si="1"/>
        <v>0</v>
      </c>
      <c r="AJ13" s="939">
        <f t="shared" si="1"/>
        <v>0</v>
      </c>
      <c r="AK13" s="939">
        <f t="shared" si="1"/>
        <v>0</v>
      </c>
      <c r="AL13" s="939">
        <f t="shared" si="1"/>
        <v>1424</v>
      </c>
      <c r="AM13" s="939">
        <f t="shared" si="1"/>
        <v>3418</v>
      </c>
      <c r="AN13" s="939">
        <f t="shared" si="1"/>
        <v>0</v>
      </c>
      <c r="AO13" s="939">
        <f t="shared" si="1"/>
        <v>0</v>
      </c>
      <c r="AP13" s="944">
        <f>IF(ISNUMBER(((Datos!L13/Datos!K13)*11)/factor_trimestre),((Datos!L13/Datos!K13)*11)/factor_trimestre," - ")</f>
        <v>9.8175083156939831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-0.74590163934426235</v>
      </c>
      <c r="AU13" s="939" t="str">
        <f>IF(ISNUMBER((DatosP!#REF!-DatosP!#REF!+DatosP!#REF!)/(DatosP!#REF!+DatosP!#REF!-DatosP!#REF!-DatosP!#REF!)),(DatosP!#REF!-DatosP!#REF!+DatosP!#REF!)/(DatosP!#REF!+DatosP!#REF!-DatosP!#REF!-DatosP!#REF!)," - ")</f>
        <v xml:space="preserve"> - </v>
      </c>
      <c r="AV13" s="945">
        <f>SUBTOTAL(9,AV9:AV12)</f>
        <v>1.2812160694896851E-2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3.8294783049130507</v>
      </c>
      <c r="AQ18" s="944">
        <f>IF(ISNUMBER(((Datos!M18/Datos!L18)*11)/factor_trimestre),((Datos!M18/Datos!L18)*11)/factor_trimestre," - ")</f>
        <v>2.5392822502424832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-6.1643835616438353E-2</v>
      </c>
      <c r="AW18" s="946">
        <f>IF(ISNUMBER((Datos!Q18-Datos!R18)/(Datos!S18-Datos!Q18+Datos!R18)),(Datos!Q18-Datos!R18)/(Datos!S18-Datos!Q18+Datos!R18)," - ")</f>
        <v>-0.13991416309012875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122</v>
      </c>
      <c r="G19" s="951">
        <f t="shared" si="4"/>
        <v>122</v>
      </c>
      <c r="H19" s="951">
        <f t="shared" si="4"/>
        <v>0</v>
      </c>
      <c r="I19" s="952">
        <f t="shared" si="4"/>
        <v>0</v>
      </c>
      <c r="J19" s="953">
        <f t="shared" si="4"/>
        <v>0</v>
      </c>
      <c r="K19" s="953">
        <f t="shared" si="4"/>
        <v>0</v>
      </c>
      <c r="L19" s="953">
        <f t="shared" si="4"/>
        <v>0</v>
      </c>
      <c r="M19" s="953">
        <f t="shared" si="4"/>
        <v>0</v>
      </c>
      <c r="N19" s="952">
        <f t="shared" si="4"/>
        <v>1169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91</v>
      </c>
      <c r="AC19" s="957">
        <f t="shared" si="5"/>
        <v>0</v>
      </c>
      <c r="AD19" s="957">
        <f t="shared" si="5"/>
        <v>1103</v>
      </c>
      <c r="AE19" s="957">
        <f t="shared" si="5"/>
        <v>0</v>
      </c>
      <c r="AF19" s="958">
        <f t="shared" si="5"/>
        <v>138</v>
      </c>
      <c r="AG19" s="958">
        <f t="shared" si="5"/>
        <v>0</v>
      </c>
      <c r="AH19" s="958">
        <f t="shared" si="5"/>
        <v>4664</v>
      </c>
      <c r="AI19" s="958">
        <f t="shared" si="5"/>
        <v>0</v>
      </c>
      <c r="AJ19" s="959">
        <f t="shared" si="5"/>
        <v>0</v>
      </c>
      <c r="AK19" s="959">
        <f t="shared" si="5"/>
        <v>0</v>
      </c>
      <c r="AL19" s="951">
        <f t="shared" si="5"/>
        <v>1424</v>
      </c>
      <c r="AM19" s="951">
        <f t="shared" si="5"/>
        <v>3418</v>
      </c>
      <c r="AN19" s="951">
        <f t="shared" si="5"/>
        <v>0</v>
      </c>
      <c r="AO19" s="951">
        <f t="shared" si="5"/>
        <v>0</v>
      </c>
      <c r="AP19" s="951">
        <f>IF(ISNUMBER(((Datos!L19/Datos!K19)*11)/factor_trimestre),((Datos!L19/Datos!K19)*11)/factor_trimestre," - ")</f>
        <v>6.9885139985642493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-0.74590163934426235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7.9300528670191127E-3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81.333333333333329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70.436732841134344</v>
      </c>
      <c r="G21" s="737">
        <f>IF(ISNUMBER(STDEV(G8:G18)),STDEV(G8:G18),"-")</f>
        <v>70.436732841134344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52.538874496255943</v>
      </c>
      <c r="AC21" s="738">
        <f>IF(ISNUMBER(STDEV(AC8:AC18)),STDEV(AC8:AC18),"-")</f>
        <v>0</v>
      </c>
      <c r="AD21" s="741"/>
      <c r="AE21" s="741"/>
      <c r="AF21" s="741"/>
      <c r="AG21" s="741"/>
      <c r="AH21" s="741"/>
      <c r="AI21" s="741"/>
      <c r="AJ21" s="742">
        <f>IF(ISNUMBER(STDEV(AJ8:AJ18)),STDEV(AJ8:AJ18),"-")</f>
        <v>0</v>
      </c>
      <c r="AK21" s="744"/>
      <c r="AL21" s="736">
        <f>IF(ISNUMBER(STDEV(AL8:AL18)),STDEV(AL8:AL18),"-")</f>
        <v>799.94708158310902</v>
      </c>
      <c r="AM21" s="736"/>
      <c r="AN21" s="736">
        <f>IF(ISNUMBER(STDEV(AN8:AN18)),STDEV(AN8:AN18),"-")</f>
        <v>0</v>
      </c>
      <c r="AO21" s="742">
        <f>IF(ISNUMBER(STDEV(AO8:AO18)),STDEV(AO8:AO18),"-")</f>
        <v>0</v>
      </c>
      <c r="AP21" s="779">
        <f>IF(ISNUMBER(STDEV(AP8:AP18)),STDEV(AP8:AP18),"-")</f>
        <v>5.254294358289191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TXDhpDi0pN/DZzoXlDcmDqwBvAbmDX5/AvGB5yd50O5QVUHgda7sQOHn0TcfiZ/KhtGxJ65HUSdJ0T/Hz0quag==" saltValue="poqg8XLyVhQSyuxe4OKcs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CORNELLA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fiYtIRpoME+fI42xxQue4dUhRjojkO1OfPxZ6jOQnh1SEQNZoNwOzE2m/PE/k0RKcUvM9B5Eeh8mUlBLL164/w==" saltValue="DoRx1fHtrVSumfVFSREm3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CORNELLA DE LLOBREGAT</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39</v>
      </c>
      <c r="E10" s="404">
        <f>IF(ISNUMBER(D10/B10),D10/B10," - ")</f>
        <v>39</v>
      </c>
      <c r="F10" s="403">
        <f>IF(ISNUMBER(Datos!N10),Datos!N10," - ")</f>
        <v>28</v>
      </c>
      <c r="G10" s="404">
        <f>IF(ISNUMBER(F10/B10),F10/B10," - ")</f>
        <v>28</v>
      </c>
      <c r="H10" s="403">
        <f>IF(ISNUMBER(Datos!O10),Datos!O10," - ")</f>
        <v>14</v>
      </c>
      <c r="I10" s="404">
        <f t="shared" ref="I10:I12" si="2">IF(ISNUMBER(H10/B10),H10/B10," - ")</f>
        <v>14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1385</v>
      </c>
      <c r="E12" s="404">
        <f t="shared" si="0"/>
        <v>277</v>
      </c>
      <c r="F12" s="403">
        <f>IF(ISNUMBER(Datos!N12),Datos!N12," - ")</f>
        <v>3390</v>
      </c>
      <c r="G12" s="404">
        <f t="shared" si="1"/>
        <v>678</v>
      </c>
      <c r="H12" s="403">
        <f>IF(ISNUMBER(Datos!O12),Datos!O12," - ")</f>
        <v>2094</v>
      </c>
      <c r="I12" s="404">
        <f t="shared" si="2"/>
        <v>418.8</v>
      </c>
      <c r="BZ12" s="1186">
        <f>Datos!EZ12</f>
        <v>0</v>
      </c>
    </row>
    <row r="13" spans="1:78" ht="14.25" thickTop="1" thickBot="1">
      <c r="A13" s="848" t="str">
        <f>Datos!A13</f>
        <v>TOTAL</v>
      </c>
      <c r="B13" s="849">
        <f>Datos!AP13</f>
        <v>5</v>
      </c>
      <c r="C13" s="851">
        <f>Datos!AR13</f>
        <v>5</v>
      </c>
      <c r="D13" s="849">
        <f>SUBTOTAL(9,D9:D12)</f>
        <v>1424</v>
      </c>
      <c r="E13" s="850">
        <f t="shared" si="0"/>
        <v>284.8</v>
      </c>
      <c r="F13" s="849">
        <f>SUBTOTAL(9,F9:F12)</f>
        <v>3418</v>
      </c>
      <c r="G13" s="850">
        <f t="shared" si="1"/>
        <v>683.6</v>
      </c>
      <c r="H13" s="849">
        <f>SUBTOTAL(9,H9:H12)</f>
        <v>2108</v>
      </c>
      <c r="I13" s="850">
        <f>IF(ISNUMBER(H13/B13),H13/B13," - ")</f>
        <v>421.6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460</v>
      </c>
      <c r="E16" s="404">
        <f t="shared" si="3"/>
        <v>92</v>
      </c>
      <c r="F16" s="403">
        <f>IF(ISNUMBER(Datos!N16),Datos!N16," - ")</f>
        <v>4009</v>
      </c>
      <c r="G16" s="404">
        <f t="shared" si="4"/>
        <v>801.8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170</v>
      </c>
      <c r="G17" s="404">
        <f>IF(ISNUMBER(F17/B17),F17/B17," - ")</f>
        <v>170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476</v>
      </c>
      <c r="E18" s="850">
        <f t="shared" si="3"/>
        <v>95.2</v>
      </c>
      <c r="F18" s="849">
        <f>SUBTOTAL(9,F15:F17)</f>
        <v>4179</v>
      </c>
      <c r="G18" s="850">
        <f t="shared" si="4"/>
        <v>835.8</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1900</v>
      </c>
      <c r="E19" s="795">
        <f>IF(ISNUMBER(D19/B19),D19/B19," - ")</f>
        <v>380</v>
      </c>
      <c r="F19" s="794">
        <f>SUBTOTAL(9,F8:F18)</f>
        <v>7597</v>
      </c>
      <c r="G19" s="795">
        <f>IF(ISNUMBER(F19/B19),F19/B19," - ")</f>
        <v>1519.4</v>
      </c>
      <c r="H19" s="794">
        <f>SUBTOTAL(9,H8:H18)</f>
        <v>2108</v>
      </c>
      <c r="I19" s="795">
        <f>IF(ISNUMBER(H19/B19),H19/B19," - ")</f>
        <v>421.6</v>
      </c>
    </row>
    <row r="22" spans="1:78">
      <c r="A22" s="391" t="str">
        <f>Criterios!A4</f>
        <v>Fecha Informe: 28 feb. 2025</v>
      </c>
    </row>
    <row r="27" spans="1:78">
      <c r="A27" s="414"/>
    </row>
  </sheetData>
  <sheetProtection algorithmName="SHA-512" hashValue="mAwbUkOlpMe0cOi0D5Lk5LHvAavHU1AIvGoBoqglCgr+G366+SnCcRxbitwh8FszF3MLwLNmjPtmaXsl8odBDA==" saltValue="xI532q4qglk0+4QOIKCkI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CORNELLA DE LLOBREGAT</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7</v>
      </c>
      <c r="C10" s="434">
        <f>IF(ISNUMBER(Datos!Q10),Datos!Q10," - ")</f>
        <v>9</v>
      </c>
      <c r="D10" s="408">
        <f>IF(ISNUMBER(Datos!R10),Datos!R10," - ")</f>
        <v>19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1162</v>
      </c>
      <c r="C12" s="434">
        <f>IF(ISNUMBER(Datos!Q12),Datos!Q12," - ")</f>
        <v>1103</v>
      </c>
      <c r="D12" s="408">
        <f>IF(ISNUMBER(Datos!R12),Datos!R12," - ")</f>
        <v>4664</v>
      </c>
    </row>
    <row r="13" spans="1:4" ht="14.25" thickTop="1" thickBot="1">
      <c r="A13" s="848" t="str">
        <f>Datos!A13</f>
        <v>TOTAL</v>
      </c>
      <c r="B13" s="849">
        <f>SUBTOTAL(9,B9:B12)</f>
        <v>1169</v>
      </c>
      <c r="C13" s="853">
        <f>SUBTOTAL(9,C9:C12)</f>
        <v>1112</v>
      </c>
      <c r="D13" s="851">
        <f>SUBTOTAL(9,D9:D12)</f>
        <v>4683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84</v>
      </c>
      <c r="C16" s="434">
        <f>IF(ISNUMBER(Datos!Q16),Datos!Q16," - ")</f>
        <v>97</v>
      </c>
      <c r="D16" s="408">
        <f>IF(ISNUMBER(Datos!R16),Datos!R16," - ")</f>
        <v>273</v>
      </c>
    </row>
    <row r="17" spans="1:4" ht="13.5" thickBot="1">
      <c r="A17" s="402" t="str">
        <f>Datos!A17</f>
        <v>Jdos. Violencia contra la mujer</v>
      </c>
      <c r="B17" s="433">
        <f>IF(ISNUMBER(Datos!P17),Datos!P17," - ")</f>
        <v>9</v>
      </c>
      <c r="C17" s="434">
        <f>IF(ISNUMBER(Datos!Q17),Datos!Q17," - ")</f>
        <v>14</v>
      </c>
      <c r="D17" s="408">
        <f>IF(ISNUMBER(Datos!R17),Datos!R17," - ")</f>
        <v>1</v>
      </c>
    </row>
    <row r="18" spans="1:4" ht="14.25" thickTop="1" thickBot="1">
      <c r="A18" s="848" t="str">
        <f>Datos!A18</f>
        <v>TOTAL</v>
      </c>
      <c r="B18" s="849">
        <f>SUBTOTAL(9,B15:B17)</f>
        <v>93</v>
      </c>
      <c r="C18" s="853">
        <f>SUBTOTAL(9,C15:C17)</f>
        <v>111</v>
      </c>
      <c r="D18" s="851">
        <f>SUBTOTAL(9,D15:D17)</f>
        <v>274</v>
      </c>
    </row>
    <row r="19" spans="1:4" ht="16.5" customHeight="1" thickTop="1" thickBot="1">
      <c r="A19" s="793" t="str">
        <f>Datos!A19</f>
        <v>TOTAL JURISDICCIONES</v>
      </c>
      <c r="B19" s="798">
        <f>SUBTOTAL(9,B8:B18)</f>
        <v>1262</v>
      </c>
      <c r="C19" s="799">
        <f>SUBTOTAL(9,C8:C18)</f>
        <v>1223</v>
      </c>
      <c r="D19" s="800">
        <f>SUBTOTAL(9,D8:D18)</f>
        <v>4957</v>
      </c>
    </row>
    <row r="20" spans="1:4" ht="7.5" customHeight="1"/>
    <row r="21" spans="1:4" ht="6" customHeight="1"/>
    <row r="22" spans="1:4">
      <c r="A22" s="391" t="str">
        <f>Criterios!A4</f>
        <v>Fecha Informe: 28 feb. 2025</v>
      </c>
    </row>
    <row r="27" spans="1:4">
      <c r="A27" s="414"/>
    </row>
  </sheetData>
  <sheetProtection algorithmName="SHA-512" hashValue="sS7HdK8cj4ZV4WxHXIHN15v/a9os5vJ2G/WFCqxobhpnk8wO9PdrIofC0XmGu1v+I3uSx37mDr4qpMYoBXsF/g==" saltValue="k7wrqksceln8m9PBXJ5Ho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CORNELLA DE LLOBREGAT</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0.14018691588785046</v>
      </c>
      <c r="C10" s="456">
        <f>IF(ISNUMBER((Datos!J10-Datos!T10)/Datos!T10),(Datos!J10-Datos!T10)/Datos!T10," - ")</f>
        <v>0.42666666666666669</v>
      </c>
      <c r="D10" s="456">
        <f>IF(ISNUMBER((Datos!K10-Datos!U10)/Datos!U10),(Datos!K10-Datos!U10)/Datos!U10," - ")</f>
        <v>0.51666666666666672</v>
      </c>
      <c r="E10" s="456">
        <f>IF(ISNUMBER((Datos!L10-Datos!V10)/Datos!V10),(Datos!L10-Datos!V10)/Datos!V10," - ")</f>
        <v>0.13114754098360656</v>
      </c>
      <c r="F10" s="456">
        <f>IF(ISNUMBER((Datos!M10-Datos!W10)/Datos!W10),(Datos!M10-Datos!W10)/Datos!W10," - ")</f>
        <v>0.21875</v>
      </c>
      <c r="G10" s="457">
        <f>IF(ISNUMBER((Datos!N10-Datos!X10)/Datos!X10),(Datos!N10-Datos!X10)/Datos!X10," - ")</f>
        <v>1</v>
      </c>
      <c r="H10" s="455">
        <f>IF(ISNUMBER(((NºAsuntos!G10/NºAsuntos!E10)-Datos!BD10)/Datos!BD10),((NºAsuntos!G10/NºAsuntos!E10)-Datos!BD10)/Datos!BD10," - ")</f>
        <v>6.3084112149532634E-2</v>
      </c>
      <c r="I10" s="456">
        <f>IF(ISNUMBER(((NºAsuntos!I10/NºAsuntos!G10)-Datos!BE10)/Datos!BE10),((NºAsuntos!I10/NºAsuntos!G10)-Datos!BE10)/Datos!BE10," - ")</f>
        <v>-0.25418843451630335</v>
      </c>
      <c r="J10" s="461">
        <f>IF(ISNUMBER((('Resol  Asuntos'!D10/NºAsuntos!G10)-Datos!BF10)/Datos!BF10),(('Resol  Asuntos'!D10/NºAsuntos!G10)-Datos!BF10)/Datos!BF10," - ")</f>
        <v>-0.19642857142857145</v>
      </c>
      <c r="K10" s="462">
        <f>IF(ISNUMBER((((NºAsuntos!C10+NºAsuntos!E10)/NºAsuntos!G10)-Datos!BG10)/Datos!BG10),(((NºAsuntos!C10+NºAsuntos!E10)/NºAsuntos!G10)-Datos!BG10)/Datos!BG10," - ")</f>
        <v>-0.17039004951092862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6.8646232439335889E-2</v>
      </c>
      <c r="C12" s="456">
        <f>IF(ISNUMBER(
   IF(J_V="SI",(Datos!J12-Datos!T12)/Datos!T12,(Datos!J12+Datos!Z12-(Datos!T12+Datos!AH12))/(Datos!T12+Datos!AH12))
     ),IF(J_V="SI",(Datos!J12-Datos!T12)/Datos!T12,(Datos!J12+Datos!Z12-(Datos!T12+Datos!AH12))/(Datos!T12+Datos!AH12))," - ")</f>
        <v>-0.21214965803942604</v>
      </c>
      <c r="D12" s="456">
        <f>IF(ISNUMBER(
   IF(J_V="SI",(Datos!K12-Datos!U12)/Datos!U12,(Datos!K12+Datos!AA12-(Datos!U12+Datos!AI12))/(Datos!U12+Datos!AI12))
     ),IF(J_V="SI",(Datos!K12-Datos!U12)/Datos!U12,(Datos!K12+Datos!AA12-(Datos!U12+Datos!AI12))/(Datos!U12+Datos!AI12))," - ")</f>
        <v>-4.3830937811299271E-2</v>
      </c>
      <c r="E12" s="456">
        <f>IF(ISNUMBER(
   IF(J_V="SI",(Datos!L12-Datos!V12)/Datos!V12,(Datos!L12+Datos!AB12-(Datos!V12+Datos!AJ12))/(Datos!V12+Datos!AJ12))
     ),IF(J_V="SI",(Datos!L12-Datos!V12)/Datos!V12,(Datos!L12+Datos!AB12-(Datos!V12+Datos!AJ12))/(Datos!V12+Datos!AJ12))," - ")</f>
        <v>-0.1124887959366597</v>
      </c>
      <c r="F12" s="456">
        <f>IF(ISNUMBER((Datos!M12-Datos!W12)/Datos!W12),(Datos!M12-Datos!W12)/Datos!W12," - ")</f>
        <v>-0.13057124921531701</v>
      </c>
      <c r="G12" s="457">
        <f>IF(ISNUMBER((Datos!N12-Datos!X12)/Datos!X12),(Datos!N12-Datos!X12)/Datos!X12," - ")</f>
        <v>6.4030131826741998E-2</v>
      </c>
      <c r="H12" s="455">
        <f>IF(ISNUMBER(((NºAsuntos!G12/NºAsuntos!E12)-Datos!BD12)/Datos!BD12),((NºAsuntos!G12/NºAsuntos!E12)-Datos!BD12)/Datos!BD12," - ")</f>
        <v>0.21364301221125809</v>
      </c>
      <c r="I12" s="456">
        <f>IF(ISNUMBER(((NºAsuntos!I12/NºAsuntos!G12)-Datos!BE12)/Datos!BE12),((NºAsuntos!I12/NºAsuntos!G12)-Datos!BE12)/Datos!BE12," - ")</f>
        <v>-7.1805144969029233E-2</v>
      </c>
      <c r="J12" s="461">
        <f>IF(ISNUMBER((('Resol  Asuntos'!D12/NºAsuntos!G12)-Datos!BF12)/Datos!BF12),(('Resol  Asuntos'!D12/NºAsuntos!G12)-Datos!BF12)/Datos!BF12," - ")</f>
        <v>-0.54535825035243579</v>
      </c>
      <c r="K12" s="462">
        <f>IF(ISNUMBER((((NºAsuntos!C12+NºAsuntos!E12)/NºAsuntos!G12)-Datos!BG12)/Datos!BG12),(((NºAsuntos!C12+NºAsuntos!E12)/NºAsuntos!G12)-Datos!BG12)/Datos!BG12," - ")</f>
        <v>-4.1967429087392434E-2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6.9847747606341229E-2</v>
      </c>
      <c r="C13" s="855">
        <f>IF(ISNUMBER(
   IF(J_V="SI",(Datos!J13-Datos!T13)/Datos!T13,(Datos!J13+Datos!Z13-(Datos!T13+Datos!AH13))/(Datos!T13+Datos!AH13))
     ),IF(J_V="SI",(Datos!J13-Datos!T13)/Datos!T13,(Datos!J13+Datos!Z13-(Datos!T13+Datos!AH13))/(Datos!T13+Datos!AH13))," - ")</f>
        <v>-0.2057886351566649</v>
      </c>
      <c r="D13" s="855">
        <f>IF(ISNUMBER(
   IF(J_V="SI",(Datos!K13-Datos!U13)/Datos!U13,(Datos!K13+Datos!AA13-(Datos!U13+Datos!AI13))/(Datos!U13+Datos!AI13))
     ),IF(J_V="SI",(Datos!K13-Datos!U13)/Datos!U13,(Datos!K13+Datos!AA13-(Datos!U13+Datos!AI13))/(Datos!U13+Datos!AI13))," - ")</f>
        <v>-3.9085649781289686E-2</v>
      </c>
      <c r="E13" s="855">
        <f>IF(ISNUMBER(
   IF(J_V="SI",(Datos!L13-Datos!V13)/Datos!V13,(Datos!L13+Datos!AB13-(Datos!V13+Datos!AJ13))/(Datos!V13+Datos!AJ13))
     ),IF(J_V="SI",(Datos!L13-Datos!V13)/Datos!V13,(Datos!L13+Datos!AB13-(Datos!V13+Datos!AJ13))/(Datos!V13+Datos!AJ13))," - ")</f>
        <v>-0.10812793427230047</v>
      </c>
      <c r="F13" s="856">
        <f>IF(ISNUMBER((Datos!M13-Datos!W13)/Datos!W13),(Datos!M13-Datos!W13)/Datos!W13," - ")</f>
        <v>-0.1236923076923077</v>
      </c>
      <c r="G13" s="857">
        <f>IF(ISNUMBER((Datos!N13-Datos!X13)/Datos!X13),(Datos!N13-Datos!X13)/Datos!X13," - ")</f>
        <v>6.8125000000000005E-2</v>
      </c>
      <c r="H13" s="857">
        <f>IF(ISNUMBER(((NºAsuntos!G13/NºAsuntos!E13)-Datos!BD13)/Datos!BD13),((NºAsuntos!G13/NºAsuntos!E13)-Datos!BD13)/Datos!BD13," - ")</f>
        <v>0.20989750682837285</v>
      </c>
      <c r="I13" s="857">
        <f>IF(ISNUMBER(((NºAsuntos!I13/NºAsuntos!G13)-Datos!BE13)/Datos!BE13),((NºAsuntos!I13/NºAsuntos!G13)-Datos!BE13)/Datos!BE13," - ")</f>
        <v>-7.1850612362377969E-2</v>
      </c>
      <c r="J13" s="857">
        <f>IF(ISNUMBER((('Resol  Asuntos'!D13/NºAsuntos!G13)-Datos!BF13)/Datos!BF13),(('Resol  Asuntos'!D13/NºAsuntos!G13)-Datos!BF13)/Datos!BF13," - ")</f>
        <v>-0.53948978260135483</v>
      </c>
      <c r="K13" s="857">
        <f>IF(ISNUMBER((((NºAsuntos!C13+NºAsuntos!E13)/NºAsuntos!G13)-Datos!BG13)/Datos!BG13),(((NºAsuntos!C13+NºAsuntos!E13)/NºAsuntos!G13)-Datos!BG13)/Datos!BG13," - ")</f>
        <v>-4.2036628230651553E-2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0.34576271186440677</v>
      </c>
      <c r="C16" s="456">
        <f>IF(ISNUMBER(
   IF(D_I="SI",(Datos!J16-Datos!T16)/Datos!T16,(Datos!J16+Datos!AD16-(Datos!T16+Datos!AL16))/(Datos!T16+Datos!AL16))
     ),IF(D_I="SI",(Datos!J16-Datos!T16)/Datos!T16,(Datos!J16+Datos!AD16-(Datos!T16+Datos!AL16))/(Datos!T16+Datos!AL16))," - ")</f>
        <v>6.3127225639365491E-3</v>
      </c>
      <c r="D16" s="456">
        <f>IF(ISNUMBER(
   IF(D_I="SI",(Datos!K16-Datos!U16)/Datos!U16,(Datos!K16+Datos!AE16-(Datos!U16+Datos!AM16))/(Datos!U16+Datos!AM16))
     ),IF(D_I="SI",(Datos!K16-Datos!U16)/Datos!U16,(Datos!K16+Datos!AE16-(Datos!U16+Datos!AM16))/(Datos!U16+Datos!AM16))," - ")</f>
        <v>-6.8413886997957793E-2</v>
      </c>
      <c r="E16" s="456">
        <f>IF(ISNUMBER(
   IF(D_I="SI",(Datos!L16-Datos!V16)/Datos!V16,(Datos!L16+Datos!AF16-(Datos!V16+Datos!AN16))/(Datos!V16+Datos!AN16))
     ),IF(D_I="SI",(Datos!L16-Datos!V16)/Datos!V16,(Datos!L16+Datos!AF16-(Datos!V16+Datos!AN16))/(Datos!V16+Datos!AN16))," - ")</f>
        <v>0.62804366078925278</v>
      </c>
      <c r="F16" s="456">
        <f>IF(ISNUMBER((Datos!M16-Datos!W16)/Datos!W16),(Datos!M16-Datos!W16)/Datos!W16," - ")</f>
        <v>8.771929824561403E-3</v>
      </c>
      <c r="G16" s="457">
        <f>IF(ISNUMBER((Datos!N16-Datos!X16)/Datos!X16),(Datos!N16-Datos!X16)/Datos!X16," - ")</f>
        <v>-9.237038714059316E-2</v>
      </c>
      <c r="H16" s="455">
        <f>IF(ISNUMBER(((NºAsuntos!G16/NºAsuntos!E16)-Datos!BD16)/Datos!BD16),((NºAsuntos!G16/NºAsuntos!E16)-Datos!BD16)/Datos!BD16," - ")</f>
        <v>-7.4257840417143867E-2</v>
      </c>
      <c r="I16" s="456">
        <f>IF(ISNUMBER(((NºAsuntos!I16/NºAsuntos!G16)-Datos!BE16)/Datos!BE16),((NºAsuntos!I16/NºAsuntos!G16)-Datos!BE16)/Datos!BE16," - ")</f>
        <v>0.74760404654688495</v>
      </c>
      <c r="J16" s="461">
        <f>IF(ISNUMBER((('Resol  Asuntos'!D16/NºAsuntos!G16)-Datos!BF16)/Datos!BF16),(('Resol  Asuntos'!D16/NºAsuntos!G16)-Datos!BF16)/Datos!BF16," - ")</f>
        <v>8.2854194309302673E-2</v>
      </c>
      <c r="K16" s="462">
        <f>IF(ISNUMBER((((NºAsuntos!C16+NºAsuntos!E16)/NºAsuntos!G16)-Datos!BG16)/Datos!BG16),(((NºAsuntos!C16+NºAsuntos!E16)/NºAsuntos!G16)-Datos!BG16)/Datos!BG16," - ")</f>
        <v>0.12587133358104735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-3.4188034188034191E-2</v>
      </c>
      <c r="C17" s="456">
        <f>IF(ISNUMBER(
   IF(D_I="SI",(Datos!J17-Datos!T17)/Datos!T17,(Datos!J17+Datos!AD17-(Datos!T17+Datos!AL17))/(Datos!T17+Datos!AL17))
     ),IF(D_I="SI",(Datos!J17-Datos!T17)/Datos!T17,(Datos!J17+Datos!AD17-(Datos!T17+Datos!AL17))/(Datos!T17+Datos!AL17))," - ")</f>
        <v>-0.18181818181818182</v>
      </c>
      <c r="D17" s="456">
        <f>IF(ISNUMBER(
   IF(D_I="SI",(Datos!K17-Datos!U17)/Datos!U17,(Datos!K17+Datos!AE17-(Datos!U17+Datos!AM17))/(Datos!U17+Datos!AM17))
     ),IF(D_I="SI",(Datos!K17-Datos!U17)/Datos!U17,(Datos!K17+Datos!AE17-(Datos!U17+Datos!AM17))/(Datos!U17+Datos!AM17))," - ")</f>
        <v>-0.20671378091872791</v>
      </c>
      <c r="E17" s="456">
        <f>IF(ISNUMBER(
   IF(D_I="SI",(Datos!L17-Datos!V17)/Datos!V17,(Datos!L17+Datos!AF17-(Datos!V17+Datos!AN17))/(Datos!V17+Datos!AN17))
     ),IF(D_I="SI",(Datos!L17-Datos!V17)/Datos!V17,(Datos!L17+Datos!AF17-(Datos!V17+Datos!AN17))/(Datos!V17+Datos!AN17))," - ")</f>
        <v>8.8495575221238937E-2</v>
      </c>
      <c r="F17" s="456">
        <f>IF(ISNUMBER((Datos!M17-Datos!W17)/Datos!W17),(Datos!M17-Datos!W17)/Datos!W17," - ")</f>
        <v>-0.1111111111111111</v>
      </c>
      <c r="G17" s="457">
        <f>IF(ISNUMBER((Datos!N17-Datos!X17)/Datos!X17),(Datos!N17-Datos!X17)/Datos!X17," - ")</f>
        <v>-0.12820512820512819</v>
      </c>
      <c r="H17" s="455">
        <f>IF(ISNUMBER(((NºAsuntos!G17/NºAsuntos!E17)-Datos!BD17)/Datos!BD17),((NºAsuntos!G17/NºAsuntos!E17)-Datos!BD17)/Datos!BD17," - ")</f>
        <v>-3.0427954456223073E-2</v>
      </c>
      <c r="I17" s="456">
        <f>IF(ISNUMBER(((NºAsuntos!I17/NºAsuntos!G17)-Datos!BE17)/Datos!BE17),((NºAsuntos!I17/NºAsuntos!G17)-Datos!BE17)/Datos!BE17," - ")</f>
        <v>0.37213473402053737</v>
      </c>
      <c r="J17" s="461">
        <f>IF(ISNUMBER((('Resol  Asuntos'!D17/NºAsuntos!G17)-Datos!BF17)/Datos!BF17),(('Resol  Asuntos'!D17/NºAsuntos!G17)-Datos!BF17)/Datos!BF17," - ")</f>
        <v>0.12051472407819852</v>
      </c>
      <c r="K17" s="462">
        <f>IF(ISNUMBER((((NºAsuntos!C17+NºAsuntos!E17)/NºAsuntos!G17)-Datos!BG17)/Datos!BG17),(((NºAsuntos!C17+NºAsuntos!E17)/NºAsuntos!G17)-Datos!BG17)/Datos!BG17," - ")</f>
        <v>6.3497381923776811E-2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0.30139720558882238</v>
      </c>
      <c r="C18" s="855">
        <f>IF(ISNUMBER(
   IF(Criterios!B14="SI",(Datos!J18-Datos!T18)/Datos!T18,(Datos!J18+Datos!AD18-(Datos!T18+Datos!AL18))/(Datos!T18+Datos!AL18))
     ),IF(Criterios!B14="SI",(Datos!J18-Datos!T18)/Datos!T18,(Datos!J18+Datos!AD18-(Datos!T18+Datos!AL18))/(Datos!T18+Datos!AL18))," - ")</f>
        <v>-9.3485680368007116E-3</v>
      </c>
      <c r="D18" s="855">
        <f>IF(ISNUMBER(
   IF(Criterios!B14="SI",(Datos!K18-Datos!U18)/Datos!U18,(Datos!K18+Datos!AE18-(Datos!U18+Datos!AM18))/(Datos!U18+Datos!AM18))
     ),IF(Criterios!B14="SI",(Datos!K18-Datos!U18)/Datos!U18,(Datos!K18+Datos!AE18-(Datos!U18+Datos!AM18))/(Datos!U18+Datos!AM18))," - ")</f>
        <v>-8.056504191244955E-2</v>
      </c>
      <c r="E18" s="855">
        <f>IF(ISNUMBER(
   IF(Criterios!B14="SI",(Datos!L18-Datos!V18)/Datos!V18,(Datos!L18+Datos!AF18-(Datos!V18+Datos!AN18))/(Datos!V18+Datos!AN18))
     ),IF(Criterios!B14="SI",(Datos!L18-Datos!V18)/Datos!V18,(Datos!L18+Datos!AF18-(Datos!V18+Datos!AN18))/(Datos!V18+Datos!AN18))," - ")</f>
        <v>0.58128834355828218</v>
      </c>
      <c r="F18" s="856">
        <f>IF(ISNUMBER((Datos!M18-Datos!W18)/Datos!W18),(Datos!M18-Datos!W18)/Datos!W18," - ")</f>
        <v>4.2194092827004216E-3</v>
      </c>
      <c r="G18" s="857">
        <f>IF(ISNUMBER((Datos!N18-Datos!X18)/Datos!X18),(Datos!N18-Datos!X18)/Datos!X18," - ")</f>
        <v>-9.3885516045099746E-2</v>
      </c>
      <c r="H18" s="857">
        <f>IF(ISNUMBER(((NºAsuntos!G18/NºAsuntos!E18)-Datos!BD18)/Datos!BD18),((NºAsuntos!G18/NºAsuntos!E18)-Datos!BD18)/Datos!BD18," - ")</f>
        <v>-7.1888528677051783E-2</v>
      </c>
      <c r="I18" s="857">
        <f>IF(ISNUMBER(((NºAsuntos!I18/NºAsuntos!G18)-Datos!BE18)/Datos!BE18),((NºAsuntos!I18/NºAsuntos!G18)-Datos!BE18)/Datos!BE18," - ")</f>
        <v>0.71984796711167542</v>
      </c>
      <c r="J18" s="857">
        <f>IF(ISNUMBER((('Resol  Asuntos'!D18/NºAsuntos!G18)-Datos!BF18)/Datos!BF18),(('Resol  Asuntos'!D18/NºAsuntos!G18)-Datos!BF18)/Datos!BF18," - ")</f>
        <v>9.2213647577098851E-2</v>
      </c>
      <c r="K18" s="857">
        <f>IF(ISNUMBER((((NºAsuntos!C18+NºAsuntos!E18)/NºAsuntos!G18)-Datos!BG18)/Datos!BG18),(((NºAsuntos!C18+NºAsuntos!E18)/NºAsuntos!G18)-Datos!BG18)/Datos!BG18," - ")</f>
        <v>0.12120444729887651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0.10131561101315611</v>
      </c>
      <c r="C19" s="802">
        <f>IF(ISNUMBER(
   IF(J_V="SI",(Datos!J19-Datos!T19)/Datos!T19,(Datos!J19+Datos!Z19-(Datos!T19+Datos!AH19))/(Datos!T19+Datos!AH19))
     ),IF(J_V="SI",(Datos!J19-Datos!T19)/Datos!T19,(Datos!J19+Datos!Z19-(Datos!T19+Datos!AH19))/(Datos!T19+Datos!AH19))," - ")</f>
        <v>-0.11302641720972602</v>
      </c>
      <c r="D19" s="802">
        <f>IF(ISNUMBER(
   IF(J_V="SI",(Datos!K19-Datos!U19)/Datos!U19,(Datos!K19+Datos!AA19-(Datos!U19+Datos!AI19))/(Datos!U19+Datos!AI19))
     ),IF(J_V="SI",(Datos!K19-Datos!U19)/Datos!U19,(Datos!K19+Datos!AA19-(Datos!U19+Datos!AI19))/(Datos!U19+Datos!AI19))," - ")</f>
        <v>-5.8836573287013083E-2</v>
      </c>
      <c r="E19" s="802">
        <f>IF(ISNUMBER(
   IF(J_V="SI",(Datos!L19-Datos!V19)/Datos!V19,(Datos!L19+Datos!AB19-(Datos!V19+Datos!AJ19))/(Datos!V19+Datos!AJ19))
     ),IF(J_V="SI",(Datos!L19-Datos!V19)/Datos!V19,(Datos!L19+Datos!AB19-(Datos!V19+Datos!AJ19))/(Datos!V19+Datos!AJ19))," - ")</f>
        <v>2.5862068965517241E-3</v>
      </c>
      <c r="F19" s="803">
        <f>IF(ISNUMBER((Datos!M19-Datos!W19)/Datos!W19),(Datos!M19-Datos!W19)/Datos!W19," - ")</f>
        <v>-9.4807050976655552E-2</v>
      </c>
      <c r="G19" s="804">
        <f>IF(ISNUMBER((Datos!N19-Datos!X19)/Datos!X19),(Datos!N19-Datos!X19)/Datos!X19," - ")</f>
        <v>-2.7521761392729136E-2</v>
      </c>
      <c r="H19" s="805">
        <f>IF(ISNUMBER((Tasas!B19-Datos!BD19)/Datos!BD19),(Tasas!B19-Datos!BD19)/Datos!BD19," - ")</f>
        <v>6.1095217460976181E-2</v>
      </c>
      <c r="I19" s="806">
        <f>IF(ISNUMBER((Tasas!C19-Datos!BE19)/Datos!BE19),(Tasas!C19-Datos!BE19)/Datos!BE19," - ")</f>
        <v>6.5262608427192823E-2</v>
      </c>
      <c r="J19" s="807">
        <f>IF(ISNUMBER((Tasas!D19-Datos!BF19)/Datos!BF19),(Tasas!D19-Datos!BF19)/Datos!BF19," - ")</f>
        <v>-0.45320206433339322</v>
      </c>
      <c r="K19" s="807">
        <f>IF(ISNUMBER((Tasas!E19-Datos!BG19)/Datos!BG19),(Tasas!E19-Datos!BG19)/Datos!BG19," - ")</f>
        <v>2.0002354776346053E-2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5og/g2WBsTbzSohqquzCyXO0ui1H6j4RiRPA5WKBnBvuxEbRP+zx5PeikpJAfXqYgJTZpNUV/nxdqt6CmFTUg==" saltValue="JxVMUtPpBCn1ZKQEve938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CORNELLA DE LLOBREGAT</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0.85046728971962615</v>
      </c>
      <c r="C10" s="443">
        <f>IF(ISNUMBER(NºAsuntos!I10/NºAsuntos!G10),NºAsuntos!I10/NºAsuntos!G10," - ")</f>
        <v>1.5164835164835164</v>
      </c>
      <c r="D10" s="444">
        <f>IF(ISNUMBER('Resol  Asuntos'!D10/NºAsuntos!G10),'Resol  Asuntos'!D10/NºAsuntos!G10," - ")</f>
        <v>0.42857142857142855</v>
      </c>
      <c r="E10" s="445">
        <f>IF(ISNUMBER((NºAsuntos!C10+NºAsuntos!E10)/NºAsuntos!G10),(NºAsuntos!C10+NºAsuntos!E10)/NºAsuntos!G10," - ")</f>
        <v>2.5164835164835164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1.1436595744680851</v>
      </c>
      <c r="C12" s="443">
        <f>IF(ISNUMBER(NºAsuntos!I12/NºAsuntos!G12),NºAsuntos!I12/NºAsuntos!G12," - ")</f>
        <v>0.88420895966661706</v>
      </c>
      <c r="D12" s="444">
        <f>IF(ISNUMBER('Resol  Asuntos'!D12/NºAsuntos!G12),'Resol  Asuntos'!D12/NºAsuntos!G12," - ")</f>
        <v>0.2061318648608424</v>
      </c>
      <c r="E12" s="445">
        <f>IF(ISNUMBER((NºAsuntos!C12+NºAsuntos!E12)/NºAsuntos!G12),(NºAsuntos!C12+NºAsuntos!E12)/NºAsuntos!G12," - ")</f>
        <v>1.870665277571067</v>
      </c>
      <c r="G12" s="463"/>
    </row>
    <row r="13" spans="1:7" ht="14.25" thickTop="1" thickBot="1">
      <c r="A13" s="848" t="str">
        <f>Datos!A13</f>
        <v>TOTAL</v>
      </c>
      <c r="B13" s="858">
        <f>IF(ISNUMBER(NºAsuntos!G13/NºAsuntos!E13),NºAsuntos!G13/NºAsuntos!E13," - ")</f>
        <v>1.1384152457372116</v>
      </c>
      <c r="C13" s="859">
        <f>IF(ISNUMBER(NºAsuntos!I13/NºAsuntos!G13),NºAsuntos!I13/NºAsuntos!G13," - ")</f>
        <v>0.89265785609397941</v>
      </c>
      <c r="D13" s="860">
        <f>IF(ISNUMBER('Resol  Asuntos'!D13/NºAsuntos!G13),'Resol  Asuntos'!D13/NºAsuntos!G13," - ")</f>
        <v>0.2091042584434655</v>
      </c>
      <c r="E13" s="861">
        <f>IF(ISNUMBER((NºAsuntos!C13+NºAsuntos!E13)/NºAsuntos!G13),(NºAsuntos!C13+NºAsuntos!E13)/NºAsuntos!G13," - ")</f>
        <v>1.879295154185022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0.8804889818240309</v>
      </c>
      <c r="C16" s="443">
        <f>IF(ISNUMBER(NºAsuntos!I16/NºAsuntos!G16),NºAsuntos!I16/NºAsuntos!G16," - ")</f>
        <v>0.35421994884910485</v>
      </c>
      <c r="D16" s="444">
        <f>IF(ISNUMBER('Resol  Asuntos'!D16/NºAsuntos!G16),'Resol  Asuntos'!D16/NºAsuntos!G16," - ")</f>
        <v>8.4033613445378158E-2</v>
      </c>
      <c r="E16" s="445">
        <f>IF(ISNUMBER((NºAsuntos!C16+NºAsuntos!E16)/NºAsuntos!G16),(NºAsuntos!C16+NºAsuntos!E16)/NºAsuntos!G16," - ")</f>
        <v>1.3533065400073072</v>
      </c>
      <c r="G16" s="463"/>
    </row>
    <row r="17" spans="1:7" ht="13.5" thickBot="1">
      <c r="A17" s="402" t="str">
        <f>Datos!A17</f>
        <v>Jdos. Violencia contra la mujer</v>
      </c>
      <c r="B17" s="442">
        <f>IF(ISNUMBER(NºAsuntos!G17/NºAsuntos!E17),NºAsuntos!G17/NºAsuntos!E17," - ")</f>
        <v>0.97821350762527237</v>
      </c>
      <c r="C17" s="443">
        <f>IF(ISNUMBER(NºAsuntos!I17/NºAsuntos!G17),NºAsuntos!I17/NºAsuntos!G17," - ")</f>
        <v>0.27394209354120269</v>
      </c>
      <c r="D17" s="444">
        <f>IF(ISNUMBER('Resol  Asuntos'!D17/NºAsuntos!G17),'Resol  Asuntos'!D17/NºAsuntos!G17," - ")</f>
        <v>3.5634743875278395E-2</v>
      </c>
      <c r="E17" s="445">
        <f>IF(ISNUMBER((NºAsuntos!C17+NºAsuntos!E17)/NºAsuntos!G17),(NºAsuntos!C17+NºAsuntos!E17)/NºAsuntos!G17," - ")</f>
        <v>1.2739420935412027</v>
      </c>
      <c r="G17" s="463"/>
    </row>
    <row r="18" spans="1:7" ht="14.25" thickTop="1" thickBot="1">
      <c r="A18" s="848" t="str">
        <f>Datos!A18</f>
        <v>TOTAL</v>
      </c>
      <c r="B18" s="858">
        <f>IF(ISNUMBER(NºAsuntos!G18/NºAsuntos!E18),NºAsuntos!G18/NºAsuntos!E18," - ")</f>
        <v>0.88720790892750145</v>
      </c>
      <c r="C18" s="859">
        <f>IF(ISNUMBER(NºAsuntos!I18/NºAsuntos!G18),NºAsuntos!I18/NºAsuntos!G18," - ")</f>
        <v>0.34813439135573188</v>
      </c>
      <c r="D18" s="862">
        <f>IF(ISNUMBER('Resol  Asuntos'!D18/NºAsuntos!G18),'Resol  Asuntos'!D18/NºAsuntos!G18," - ")</f>
        <v>8.0364680060780014E-2</v>
      </c>
      <c r="E18" s="861">
        <f>IF(ISNUMBER((NºAsuntos!C18+NºAsuntos!E18)/NºAsuntos!G18),(NºAsuntos!C18+NºAsuntos!E18)/NºAsuntos!G18," - ")</f>
        <v>1.3472902245483707</v>
      </c>
      <c r="G18" s="463"/>
    </row>
    <row r="19" spans="1:7" ht="15.75" customHeight="1" thickTop="1" thickBot="1">
      <c r="A19" s="793" t="str">
        <f>Datos!A19</f>
        <v>TOTAL JURISDICCIONES</v>
      </c>
      <c r="B19" s="808">
        <f>IF(ISNUMBER(NºAsuntos!G19/NºAsuntos!E19),NºAsuntos!G19/NºAsuntos!E19," - ")</f>
        <v>1.0059251066519197</v>
      </c>
      <c r="C19" s="809">
        <f>IF(ISNUMBER(NºAsuntos!I19/NºAsuntos!G19),NºAsuntos!I19/NºAsuntos!G19," - ")</f>
        <v>0.63936228697086306</v>
      </c>
      <c r="D19" s="810">
        <f>IF(ISNUMBER('Resol  Asuntos'!D19/NºAsuntos!G19),'Resol  Asuntos'!D19/NºAsuntos!G19," - ")</f>
        <v>0.14921856593104532</v>
      </c>
      <c r="E19" s="811">
        <f>IF(ISNUMBER((NºAsuntos!C19+NºAsuntos!E19)/NºAsuntos!G19),(NºAsuntos!C19+NºAsuntos!E19)/NºAsuntos!G19," - ")</f>
        <v>1.6318228225869786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VLqPqWPKUYTTEyk+xm2o0QvksBVkTVvBKaLGX3LQAZfFGVqipgVy1gXp4rKTxuVtWhzwY35YYDX0yxH9EZ41Q==" saltValue="57A0DLwz533O708j7Y2SQ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CORNELLA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122</v>
      </c>
      <c r="G10" s="333">
        <f>IF(ISNUMBER(Datos!I10),Datos!I10," - ")</f>
        <v>122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91</v>
      </c>
      <c r="X10" s="226">
        <f>IF(ISNUMBER(Datos!Q10),Datos!Q10," - ")</f>
        <v>9</v>
      </c>
      <c r="Y10" s="334">
        <f t="shared" ref="Y10:Y12" si="0">SUM(W10:X10)</f>
        <v>100</v>
      </c>
      <c r="Z10" s="335" t="str">
        <f>IF(ISNUMBER(Datos!CC10),Datos!CC10," - ")</f>
        <v xml:space="preserve"> - </v>
      </c>
      <c r="AA10" s="332">
        <f>IF(ISNUMBER(Datos!L10),Datos!L10,"-")</f>
        <v>138</v>
      </c>
      <c r="AB10" s="334">
        <f>IF(ISNUMBER(Datos!R10),Datos!R10," - ")</f>
        <v>19</v>
      </c>
      <c r="AC10" s="334">
        <f t="shared" ref="AC10:AC12" si="1">IF(ISNUMBER(AA10+AB10),AA10+AB10," - ")</f>
        <v>157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39</v>
      </c>
      <c r="AJ10" s="231" t="str">
        <f>IF(ISNUMBER(Datos!BW10),Datos!BW10," - ")</f>
        <v xml:space="preserve"> - </v>
      </c>
      <c r="AK10" s="232" t="str">
        <f>IF(ISNUMBER(Datos!BX10),Datos!BX10," - ")</f>
        <v xml:space="preserve"> - </v>
      </c>
      <c r="AL10" s="243">
        <f>IF(ISNUMBER(NºAsuntos!G10/NºAsuntos!E10),NºAsuntos!G10/NºAsuntos!E10," - ")</f>
        <v>0.85046728971962615</v>
      </c>
      <c r="AM10" s="260">
        <f>IF(ISNUMBER(((NºAsuntos!I10/NºAsuntos!G10)*11)/factor_trimestre),((NºAsuntos!I10/NºAsuntos!G10)*11)/factor_trimestre," - ")</f>
        <v>16.681318681318679</v>
      </c>
      <c r="AN10" s="244">
        <f>IF(ISNUMBER('Resol  Asuntos'!D10/NºAsuntos!G10),'Resol  Asuntos'!D10/NºAsuntos!G10," - ")</f>
        <v>0.42857142857142855</v>
      </c>
      <c r="AO10" s="245">
        <f>IF(ISNUMBER((NºAsuntos!C10+NºAsuntos!E10)/NºAsuntos!G10),(NºAsuntos!C10+NºAsuntos!E10)/NºAsuntos!G10," - ")</f>
        <v>2.5164835164835164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1162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1103</v>
      </c>
      <c r="Y12" s="334">
        <f t="shared" si="0"/>
        <v>1103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1385</v>
      </c>
      <c r="AJ12" s="229" t="str">
        <f>IF(ISNUMBER(Datos!BW12),Datos!BW12," - ")</f>
        <v xml:space="preserve"> - </v>
      </c>
      <c r="AK12" s="228" t="str">
        <f>IF(ISNUMBER(Datos!BX12),Datos!BX12," - ")</f>
        <v xml:space="preserve"> - </v>
      </c>
      <c r="AL12" s="243">
        <f>IF(ISNUMBER(NºAsuntos!G12/NºAsuntos!E12),NºAsuntos!G12/NºAsuntos!E12," - ")</f>
        <v>1.1436595744680851</v>
      </c>
      <c r="AM12" s="260">
        <f>IF(ISNUMBER(((NºAsuntos!I12/NºAsuntos!G12)*11)/factor_trimestre),((NºAsuntos!I12/NºAsuntos!G12)*11)/factor_trimestre," - ")</f>
        <v>9.7262985563327877</v>
      </c>
      <c r="AN12" s="244">
        <f>IF(ISNUMBER('Resol  Asuntos'!D12/NºAsuntos!G12),'Resol  Asuntos'!D12/NºAsuntos!G12," - ")</f>
        <v>0.2061318648608424</v>
      </c>
      <c r="AO12" s="245">
        <f>IF(ISNUMBER((NºAsuntos!C12+NºAsuntos!E12)/NºAsuntos!G12),(NºAsuntos!C12+NºAsuntos!E12)/NºAsuntos!G12," - ")</f>
        <v>1.870665277571067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122</v>
      </c>
      <c r="G13" s="866">
        <f t="shared" si="3"/>
        <v>122</v>
      </c>
      <c r="H13" s="865">
        <f t="shared" si="3"/>
        <v>0</v>
      </c>
      <c r="I13" s="867">
        <f t="shared" si="3"/>
        <v>0</v>
      </c>
      <c r="J13" s="867">
        <f t="shared" si="3"/>
        <v>0</v>
      </c>
      <c r="K13" s="867">
        <f t="shared" si="3"/>
        <v>0</v>
      </c>
      <c r="L13" s="867">
        <f t="shared" si="3"/>
        <v>1169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91</v>
      </c>
      <c r="X13" s="867">
        <f t="shared" si="4"/>
        <v>1112</v>
      </c>
      <c r="Y13" s="868">
        <f t="shared" si="4"/>
        <v>1203</v>
      </c>
      <c r="Z13" s="868">
        <f t="shared" si="4"/>
        <v>0</v>
      </c>
      <c r="AA13" s="868">
        <f t="shared" si="4"/>
        <v>138</v>
      </c>
      <c r="AB13" s="868">
        <f t="shared" si="4"/>
        <v>4683</v>
      </c>
      <c r="AC13" s="868">
        <f t="shared" si="4"/>
        <v>157</v>
      </c>
      <c r="AD13" s="868">
        <f t="shared" si="4"/>
        <v>0</v>
      </c>
      <c r="AE13" s="872">
        <f t="shared" si="4"/>
        <v>0</v>
      </c>
      <c r="AF13" s="865">
        <f t="shared" si="4"/>
        <v>0</v>
      </c>
      <c r="AG13" s="873">
        <f t="shared" si="4"/>
        <v>0</v>
      </c>
      <c r="AH13" s="870">
        <f t="shared" si="4"/>
        <v>0</v>
      </c>
      <c r="AI13" s="865">
        <f t="shared" si="4"/>
        <v>1424</v>
      </c>
      <c r="AJ13" s="867">
        <f t="shared" si="4"/>
        <v>0</v>
      </c>
      <c r="AK13" s="870">
        <f>SUBTOTAL(9,AK9:AK12)</f>
        <v>0</v>
      </c>
      <c r="AL13" s="874">
        <f>IF(ISNUMBER(NºAsuntos!G13/NºAsuntos!E13),NºAsuntos!G13/NºAsuntos!E13," - ")</f>
        <v>1.1384152457372116</v>
      </c>
      <c r="AM13" s="874">
        <f>IF(ISNUMBER(((NºAsuntos!I13/NºAsuntos!G13)*11)/factor_trimestre),((NºAsuntos!I13/NºAsuntos!G13)*11)/factor_trimestre," - ")</f>
        <v>9.8192364170337729</v>
      </c>
      <c r="AN13" s="875">
        <f>IF(ISNUMBER('Resol  Asuntos'!D13/NºAsuntos!G13),'Resol  Asuntos'!D13/NºAsuntos!G13," - ")</f>
        <v>0.2091042584434655</v>
      </c>
      <c r="AO13" s="876">
        <f>IF(ISNUMBER((NºAsuntos!C13+NºAsuntos!E13)/NºAsuntos!G13),(NºAsuntos!C13+NºAsuntos!E13)/NºAsuntos!G13," - ")</f>
        <v>1.879295154185022</v>
      </c>
      <c r="AP13" s="877" t="str">
        <f t="shared" si="2"/>
        <v xml:space="preserve"> - </v>
      </c>
      <c r="AQ13" s="877">
        <f>IF(ISNUMBER((H13-W13+K13)/(F13)),(H13-W13+K13)/(F13)," - ")</f>
        <v>-0.74590163934426235</v>
      </c>
      <c r="AR13" s="878">
        <f>IF(ISNUMBER((Datos!P13-Datos!Q13)/(Datos!R13-Datos!P13+Datos!Q13)),(Datos!P13-Datos!Q13)/(Datos!R13-Datos!P13+Datos!Q13)," - ")</f>
        <v>1.232166018158236E-2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1196</v>
      </c>
      <c r="G16" s="333">
        <f>IF(ISNUMBER(IF(D_I="SI",Datos!I16,Datos!I16+Datos!AC16)),IF(D_I="SI",Datos!I16,Datos!I16+Datos!AC16)," - ")</f>
        <v>1191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5474</v>
      </c>
      <c r="X16" s="226">
        <f>IF(ISNUMBER(Datos!Q16),Datos!Q16," - ")</f>
        <v>97</v>
      </c>
      <c r="Y16" s="334">
        <f t="shared" ref="Y16:Y17" si="7">SUM(W16:X16)</f>
        <v>5571</v>
      </c>
      <c r="Z16" s="335" t="str">
        <f>IF(ISNUMBER(Datos!CC16),Datos!CC16," - ")</f>
        <v xml:space="preserve"> - </v>
      </c>
      <c r="AA16" s="332">
        <f>IF(ISNUMBER(IF(D_I="SI",Datos!L16,Datos!L16+Datos!AF16)),IF(D_I="SI",Datos!L16,Datos!L16+Datos!AF16)," - ")</f>
        <v>1939</v>
      </c>
      <c r="AB16" s="334">
        <f>IF(ISNUMBER(Datos!R16),Datos!R16," - ")</f>
        <v>273</v>
      </c>
      <c r="AC16" s="334">
        <f t="shared" si="6"/>
        <v>2212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460</v>
      </c>
      <c r="AJ16" s="231" t="str">
        <f>IF(ISNUMBER(Datos!BW16),Datos!BW16," - ")</f>
        <v xml:space="preserve"> - </v>
      </c>
      <c r="AK16" s="232" t="str">
        <f>IF(ISNUMBER(Datos!BX16),Datos!BX16," - ")</f>
        <v xml:space="preserve"> - </v>
      </c>
      <c r="AL16" s="243">
        <f>IF(ISNUMBER(NºAsuntos!G16/NºAsuntos!E16),NºAsuntos!G16/NºAsuntos!E16," - ")</f>
        <v>0.8804889818240309</v>
      </c>
      <c r="AM16" s="260">
        <f>IF(ISNUMBER(((NºAsuntos!I16/NºAsuntos!G16)*11)/factor_trimestre),((NºAsuntos!I16/NºAsuntos!G16)*11)/factor_trimestre," - ")</f>
        <v>3.8964194373401533</v>
      </c>
      <c r="AN16" s="244">
        <f>IF(ISNUMBER('Resol  Asuntos'!D16/NºAsuntos!G16),'Resol  Asuntos'!D16/NºAsuntos!G16," - ")</f>
        <v>8.4033613445378158E-2</v>
      </c>
      <c r="AO16" s="245">
        <f>IF(ISNUMBER((NºAsuntos!C16+NºAsuntos!E16)/NºAsuntos!G16),(NºAsuntos!C16+NºAsuntos!E16)/NºAsuntos!G16," - ")</f>
        <v>1.3533065400073072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449</v>
      </c>
      <c r="X17" s="226">
        <f>IF(ISNUMBER(Datos!Q17),Datos!Q17," - ")</f>
        <v>14</v>
      </c>
      <c r="Y17" s="334">
        <f t="shared" si="7"/>
        <v>463</v>
      </c>
      <c r="Z17" s="335" t="str">
        <f>IF(ISNUMBER(Datos!CC17),Datos!CC17," - ")</f>
        <v xml:space="preserve"> - </v>
      </c>
      <c r="AA17" s="332">
        <f>IF(ISNUMBER(Datos!L17),Datos!L17,"-")</f>
        <v>123</v>
      </c>
      <c r="AB17" s="334">
        <f>IF(ISNUMBER(Datos!R17),Datos!R17," - ")</f>
        <v>1</v>
      </c>
      <c r="AC17" s="334">
        <f t="shared" si="6"/>
        <v>124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0.97821350762527237</v>
      </c>
      <c r="AM17" s="260">
        <f>IF(ISNUMBER(((NºAsuntos!I17/NºAsuntos!G17)*11)/factor_trimestre),((NºAsuntos!I17/NºAsuntos!G17)*11)/factor_trimestre," - ")</f>
        <v>3.0133630289532296</v>
      </c>
      <c r="AN17" s="244">
        <f>IF(ISNUMBER('Resol  Asuntos'!D17/NºAsuntos!G17),'Resol  Asuntos'!D17/NºAsuntos!G17," - ")</f>
        <v>3.5634743875278395E-2</v>
      </c>
      <c r="AO17" s="245">
        <f>IF(ISNUMBER((NºAsuntos!C17+NºAsuntos!E17)/NºAsuntos!G17),(NºAsuntos!C17+NºAsuntos!E17)/NºAsuntos!G17," - ")</f>
        <v>1.2739420935412027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1196</v>
      </c>
      <c r="G18" s="866">
        <f>SUBTOTAL(9,G15:G17)</f>
        <v>1304</v>
      </c>
      <c r="H18" s="865">
        <f t="shared" ref="H18:O18" si="10">SUBTOTAL(9,H14:H17)</f>
        <v>0</v>
      </c>
      <c r="I18" s="867">
        <f t="shared" si="10"/>
        <v>0</v>
      </c>
      <c r="J18" s="867">
        <f t="shared" si="10"/>
        <v>0</v>
      </c>
      <c r="K18" s="867">
        <f t="shared" si="10"/>
        <v>0</v>
      </c>
      <c r="L18" s="867">
        <f t="shared" si="10"/>
        <v>93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5923</v>
      </c>
      <c r="X18" s="867">
        <f t="shared" si="11"/>
        <v>111</v>
      </c>
      <c r="Y18" s="868">
        <f t="shared" si="11"/>
        <v>6034</v>
      </c>
      <c r="Z18" s="868">
        <f t="shared" si="11"/>
        <v>0</v>
      </c>
      <c r="AA18" s="868">
        <f t="shared" si="11"/>
        <v>2062</v>
      </c>
      <c r="AB18" s="868">
        <f t="shared" si="11"/>
        <v>274</v>
      </c>
      <c r="AC18" s="868">
        <f t="shared" si="11"/>
        <v>2336</v>
      </c>
      <c r="AD18" s="868">
        <f t="shared" si="11"/>
        <v>0</v>
      </c>
      <c r="AE18" s="872">
        <f t="shared" si="11"/>
        <v>0</v>
      </c>
      <c r="AF18" s="865">
        <f t="shared" si="11"/>
        <v>0</v>
      </c>
      <c r="AG18" s="873">
        <f t="shared" si="11"/>
        <v>0</v>
      </c>
      <c r="AH18" s="870">
        <f t="shared" si="11"/>
        <v>0</v>
      </c>
      <c r="AI18" s="865">
        <f t="shared" si="11"/>
        <v>476</v>
      </c>
      <c r="AJ18" s="867">
        <f t="shared" si="11"/>
        <v>0</v>
      </c>
      <c r="AK18" s="870">
        <f t="shared" si="11"/>
        <v>0</v>
      </c>
      <c r="AL18" s="874">
        <f>IF(ISNUMBER(NºAsuntos!G18/NºAsuntos!E18),NºAsuntos!G18/NºAsuntos!E18," - ")</f>
        <v>0.88720790892750145</v>
      </c>
      <c r="AM18" s="874">
        <f>IF(ISNUMBER(((NºAsuntos!I18/NºAsuntos!G18)*11)/factor_trimestre),((NºAsuntos!I18/NºAsuntos!G18)*11)/factor_trimestre," - ")</f>
        <v>3.8294783049130507</v>
      </c>
      <c r="AN18" s="875">
        <f>IF(ISNUMBER('Resol  Asuntos'!D18/NºAsuntos!G18),'Resol  Asuntos'!D18/NºAsuntos!G18," - ")</f>
        <v>8.0364680060780014E-2</v>
      </c>
      <c r="AO18" s="876">
        <f>IF(ISNUMBER((NºAsuntos!C18+NºAsuntos!E18)/NºAsuntos!G18),(NºAsuntos!C18+NºAsuntos!E18)/NºAsuntos!G18," - ")</f>
        <v>1.3472902245483707</v>
      </c>
      <c r="AP18" s="877" t="str">
        <f t="shared" si="2"/>
        <v xml:space="preserve"> - </v>
      </c>
      <c r="AQ18" s="877">
        <f>IF(ISNUMBER((H18-W18+K18)/(F18)),(H18-W18+K18)/(F18)," - ")</f>
        <v>-4.9523411371237458</v>
      </c>
      <c r="AR18" s="878">
        <f>IF(ISNUMBER((Datos!P18-Datos!Q18)/(Datos!R18-Datos!P18+Datos!Q18)),(Datos!P18-Datos!Q18)/(Datos!R18-Datos!P18+Datos!Q18)," - ")</f>
        <v>-6.1643835616438353E-2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1318</v>
      </c>
      <c r="G19" s="821">
        <f t="shared" si="13"/>
        <v>1426</v>
      </c>
      <c r="H19" s="820">
        <f t="shared" si="13"/>
        <v>0</v>
      </c>
      <c r="I19" s="822">
        <f t="shared" si="13"/>
        <v>0</v>
      </c>
      <c r="J19" s="822">
        <f t="shared" si="13"/>
        <v>0</v>
      </c>
      <c r="K19" s="881">
        <f t="shared" si="13"/>
        <v>0</v>
      </c>
      <c r="L19" s="822">
        <f t="shared" si="13"/>
        <v>1262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6014</v>
      </c>
      <c r="X19" s="821">
        <f t="shared" si="14"/>
        <v>1223</v>
      </c>
      <c r="Y19" s="828">
        <f t="shared" si="14"/>
        <v>7237</v>
      </c>
      <c r="Z19" s="828">
        <f t="shared" si="14"/>
        <v>0</v>
      </c>
      <c r="AA19" s="828">
        <f t="shared" si="14"/>
        <v>2200</v>
      </c>
      <c r="AB19" s="828">
        <f t="shared" si="14"/>
        <v>4957</v>
      </c>
      <c r="AC19" s="828">
        <f t="shared" si="14"/>
        <v>2493</v>
      </c>
      <c r="AD19" s="828">
        <f t="shared" si="14"/>
        <v>0</v>
      </c>
      <c r="AE19" s="830">
        <f t="shared" si="14"/>
        <v>0</v>
      </c>
      <c r="AF19" s="831">
        <f t="shared" si="14"/>
        <v>0</v>
      </c>
      <c r="AG19" s="832">
        <f t="shared" si="14"/>
        <v>0</v>
      </c>
      <c r="AH19" s="830">
        <f t="shared" si="14"/>
        <v>0</v>
      </c>
      <c r="AI19" s="820">
        <f t="shared" si="14"/>
        <v>1900</v>
      </c>
      <c r="AJ19" s="820">
        <f t="shared" si="14"/>
        <v>0</v>
      </c>
      <c r="AK19" s="830">
        <f t="shared" si="14"/>
        <v>0</v>
      </c>
      <c r="AL19" s="884">
        <f>IF(ISNUMBER(NºAsuntos!G19/NºAsuntos!E19),NºAsuntos!G19/NºAsuntos!E19," - ")</f>
        <v>1.0059251066519197</v>
      </c>
      <c r="AM19" s="885">
        <f>IF(ISNUMBER(((NºAsuntos!I19/NºAsuntos!G19)*11)/factor_trimestre),((NºAsuntos!I19/NºAsuntos!G19)*11)/factor_trimestre," - ")</f>
        <v>7.0329851566794934</v>
      </c>
      <c r="AN19" s="885">
        <f>IF(ISNUMBER('Resol  Asuntos'!D19/NºAsuntos!G19),'Resol  Asuntos'!D19/NºAsuntos!G19," - ")</f>
        <v>0.14921856593104532</v>
      </c>
      <c r="AO19" s="886">
        <f>IF(ISNUMBER((NºAsuntos!C19+NºAsuntos!E19)/NºAsuntos!G19),(NºAsuntos!C19+NºAsuntos!E19)/NºAsuntos!G19," - ")</f>
        <v>1.6318228225869786</v>
      </c>
      <c r="AP19" s="887" t="str">
        <f t="shared" si="2"/>
        <v xml:space="preserve"> - </v>
      </c>
      <c r="AQ19" s="888">
        <f>IF(OR(ISNUMBER(FIND("01",Criterios!A8,1)),ISNUMBER(FIND("02",Criterios!A8,1)),ISNUMBER(FIND("03",Criterios!A8,1)),ISNUMBER(FIND("04",Criterios!A8,1))),(I19-W19+K19)/(F19-K19),(H19-W19+K19)/(F19-K19))</f>
        <v>-4.5629742033383911</v>
      </c>
      <c r="AR19" s="889">
        <f>IF(ISNUMBER((Datos!P19-Datos!Q19)/(Datos!R19-Datos!P19+Datos!Q19)),(Datos!P19-Datos!Q19)/(Datos!R19-Datos!P19+Datos!Q19)," - ")</f>
        <v>7.9300528670191127E-3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570.4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620.07418910965805</v>
      </c>
      <c r="G21" s="253">
        <f>IF(ISNUMBER(STDEV(G8:G18)),STDEV(G8:G18),"-")</f>
        <v>619.40560217033874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3013.7273931130535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629.1720485421032</v>
      </c>
      <c r="AJ21" s="252">
        <f t="shared" si="18"/>
        <v>0</v>
      </c>
      <c r="AK21" s="254">
        <f t="shared" si="18"/>
        <v>0</v>
      </c>
      <c r="AL21" s="249">
        <f t="shared" si="18"/>
        <v>0.13204103662642483</v>
      </c>
      <c r="AM21" s="250">
        <f t="shared" si="18"/>
        <v>5.3023776098586985</v>
      </c>
      <c r="AN21" s="250">
        <f t="shared" si="18"/>
        <v>0.14358122555694877</v>
      </c>
      <c r="AO21" s="251">
        <f t="shared" si="18"/>
        <v>0.48036749906565412</v>
      </c>
      <c r="AP21" s="291" t="str">
        <f t="shared" si="18"/>
        <v>-</v>
      </c>
      <c r="AQ21" s="292">
        <f t="shared" si="18"/>
        <v>2.9744018935308079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IkAK7IVWyoNciszHzCRat4k/rRStdFcoDVjl11GDmnboetWIO3sl1kiwj6pZF1zbbVwTPyLqe6vwiwlmxPgksw==" saltValue="KWqA+DU/0wz1GWP6Pvfl1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CORNELLA DE LLOBREGAT</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0.14018691588785046</v>
      </c>
      <c r="E10" s="348">
        <f>IF(ISNUMBER((Datos!J10-Datos!T10)/Datos!T10),(Datos!J10-Datos!T10)/Datos!T10," - ")</f>
        <v>0.42666666666666669</v>
      </c>
      <c r="F10" s="348">
        <f>IF(ISNUMBER((Datos!K10-Datos!U10)/Datos!U10),(Datos!K10-Datos!U10)/Datos!U10," - ")</f>
        <v>0.51666666666666672</v>
      </c>
      <c r="G10" s="349">
        <f>IF(ISNUMBER((Datos!L10-Datos!V10)/Datos!V10),(Datos!L10-Datos!V10)/Datos!V10," - ")</f>
        <v>0.13114754098360656</v>
      </c>
      <c r="H10" s="230">
        <f>IF(ISNUMBER((Datos!M10-Datos!W10)/Datos!W10),(Datos!M10-Datos!W10)/Datos!W10," - ")</f>
        <v>0.21875</v>
      </c>
      <c r="I10" s="350">
        <f>IF(ISNUMBER((Tasas!C10-Datos!BE10)/Datos!BE10),(Tasas!C10-Datos!BE10)/Datos!BE10," - ")</f>
        <v>-0.25418843451630335</v>
      </c>
      <c r="J10" s="349">
        <f>IF(ISNUMBER((Tasas!D10-Datos!BF10)/Datos!BF10),(Tasas!D10-Datos!BF10)/Datos!BF10," - ")</f>
        <v>-0.19642857142857145</v>
      </c>
      <c r="K10" s="351">
        <f>IF(ISNUMBER((Tasas!E10-Datos!BG10)/Datos!BG10),(Tasas!E10-Datos!BG10)/Datos!BG10," - ")</f>
        <v>-0.17039004951092862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-0.13057124921531701</v>
      </c>
      <c r="I12" s="350">
        <f>IF(ISNUMBER((Tasas!C12-Datos!BE12)/Datos!BE12),(Tasas!C12-Datos!BE12)/Datos!BE12," - ")</f>
        <v>-7.1805144969029233E-2</v>
      </c>
      <c r="J12" s="349">
        <f>IF(ISNUMBER((Tasas!D12-Datos!BF12)/Datos!BF12),(Tasas!D12-Datos!BF12)/Datos!BF12," - ")</f>
        <v>-0.54535825035243579</v>
      </c>
      <c r="K12" s="351">
        <f>IF(ISNUMBER((Tasas!E12-Datos!BG12)/Datos!BG12),(Tasas!E12-Datos!BG12)/Datos!BG12," - ")</f>
        <v>-4.1967429087392434E-2</v>
      </c>
      <c r="M12" t="e">
        <f>IF(Monitorios="SI",Datos!CE12,0)</f>
        <v>#REF!</v>
      </c>
      <c r="N12" t="e">
        <f>IF(Monitorios="SI",Datos!CF12,0)</f>
        <v>#REF!</v>
      </c>
      <c r="O12" t="e">
        <f>IF(Monitorios="SI",Datos!CG12,0)</f>
        <v>#REF!</v>
      </c>
      <c r="P12" t="e">
        <f>IF(Monitorios="SI",Datos!CH12,0)</f>
        <v>#REF!</v>
      </c>
      <c r="Q12">
        <f>IF(J_V="SI",0,Datos!AG12)</f>
        <v>122</v>
      </c>
      <c r="R12">
        <f>IF(J_V="SI",0,Datos!AH12)</f>
        <v>318</v>
      </c>
      <c r="S12">
        <f>IF(J_V="SI",0,Datos!AI12)</f>
        <v>292</v>
      </c>
      <c r="T12">
        <f>IF(J_V="SI",0,Datos!AJ12)</f>
        <v>148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-0.1236923076923077</v>
      </c>
      <c r="I13" s="357">
        <f>IF(ISNUMBER((Tasas!C13-Datos!BE13)/Datos!BE13),(Tasas!C13-Datos!BE13)/Datos!BE13," - ")</f>
        <v>-7.1850612362377969E-2</v>
      </c>
      <c r="J13" s="355">
        <f>IF(ISNUMBER((Tasas!D13-Datos!BF13)/Datos!BF13),(Tasas!D13-Datos!BF13)/Datos!BF13," - ")</f>
        <v>-0.53948978260135483</v>
      </c>
      <c r="K13" s="358">
        <f>IF(ISNUMBER((Tasas!E13-Datos!BG13)/Datos!BG13),(Tasas!E13-Datos!BG13)/Datos!BG13," - ")</f>
        <v>-4.2036628230651553E-2</v>
      </c>
      <c r="M13" t="e">
        <f>IF(Monitorios="SI",Datos!CE13,0)</f>
        <v>#REF!</v>
      </c>
      <c r="N13" t="e">
        <f>IF(Monitorios="SI",Datos!CF13,0)</f>
        <v>#REF!</v>
      </c>
      <c r="O13" t="e">
        <f>IF(Monitorios="SI",Datos!CG13,0)</f>
        <v>#REF!</v>
      </c>
      <c r="P13" t="e">
        <f>IF(Monitorios="SI",Datos!CH13,0)</f>
        <v>#REF!</v>
      </c>
      <c r="Q13">
        <f>IF(J_V="SI",0,Datos!AG13)</f>
        <v>122</v>
      </c>
      <c r="R13">
        <f>IF(J_V="SI",0,Datos!AH13)</f>
        <v>318</v>
      </c>
      <c r="S13">
        <f>IF(J_V="SI",0,Datos!AI13)</f>
        <v>292</v>
      </c>
      <c r="T13">
        <f>IF(J_V="SI",0,Datos!AJ13)</f>
        <v>148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0.34576271186440677</v>
      </c>
      <c r="E16" s="348">
        <f>IF(ISNUMBER(
   IF(D_I="SI",(Datos!J16-Datos!T16)/Datos!T16,(Datos!J16+Datos!AD16-(Datos!T16+Datos!AL16))/(Datos!T16+Datos!AL16))
     ),IF(D_I="SI",(Datos!J16-Datos!T16)/Datos!T16,(Datos!J16+Datos!AD16-(Datos!T16+Datos!AL16))/(Datos!T16+Datos!AL16))," - ")</f>
        <v>6.3127225639365491E-3</v>
      </c>
      <c r="F16" s="348">
        <f>IF(ISNUMBER(
   IF(D_I="SI",(Datos!K16-Datos!U16)/Datos!U16,(Datos!K16+Datos!AE16-(Datos!U16+Datos!AM16))/(Datos!U16+Datos!AM16))
     ),IF(D_I="SI",(Datos!K16-Datos!U16)/Datos!U16,(Datos!K16+Datos!AE16-(Datos!U16+Datos!AM16))/(Datos!U16+Datos!AM16))," - ")</f>
        <v>-6.8413886997957793E-2</v>
      </c>
      <c r="G16" s="349">
        <f>IF(ISNUMBER(
   IF(D_I="SI",(Datos!L16-Datos!V16)/Datos!V16,(Datos!L16+Datos!AF16-(Datos!V16+Datos!AN16))/(Datos!V16+Datos!AN16))
     ),IF(D_I="SI",(Datos!L16-Datos!V16)/Datos!V16,(Datos!L16+Datos!AF16-(Datos!V16+Datos!AN16))/(Datos!V16+Datos!AN16))," - ")</f>
        <v>0.62804366078925278</v>
      </c>
      <c r="H16" s="230">
        <f>IF(ISNUMBER((Datos!M16-Datos!W16)/Datos!W16),(Datos!M16-Datos!W16)/Datos!W16," - ")</f>
        <v>8.771929824561403E-3</v>
      </c>
      <c r="I16" s="350">
        <f>IF(ISNUMBER((Tasas!C16-Datos!BE16)/Datos!BE16),(Tasas!C16-Datos!BE16)/Datos!BE16," - ")</f>
        <v>0.74760404654688495</v>
      </c>
      <c r="J16" s="349">
        <f>IF(ISNUMBER((Tasas!D16-Datos!BF16)/Datos!BF16),(Tasas!D16-Datos!BF16)/Datos!BF16," - ")</f>
        <v>8.2854194309302673E-2</v>
      </c>
      <c r="K16" s="351">
        <f>IF(ISNUMBER((Tasas!E16-Datos!BG16)/Datos!BG16),(Tasas!E16-Datos!BG16)/Datos!BG16," - ")</f>
        <v>0.12587133358104735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-3.4188034188034191E-2</v>
      </c>
      <c r="E17" s="348">
        <f>IF(ISNUMBER(
   IF(D_I="SI",(Datos!J17-Datos!T17)/Datos!T17,(Datos!J17+Datos!AD17-(Datos!T17+Datos!AL17))/(Datos!T17+Datos!AL17))
     ),IF(D_I="SI",(Datos!J17-Datos!T17)/Datos!T17,(Datos!J17+Datos!AD17-(Datos!T17+Datos!AL17))/(Datos!T17+Datos!AL17))," - ")</f>
        <v>-0.18181818181818182</v>
      </c>
      <c r="F17" s="348">
        <f>IF(ISNUMBER(
   IF(D_I="SI",(Datos!K17-Datos!U17)/Datos!U17,(Datos!K17+Datos!AE17-(Datos!U17+Datos!AM17))/(Datos!U17+Datos!AM17))
     ),IF(D_I="SI",(Datos!K17-Datos!U17)/Datos!U17,(Datos!K17+Datos!AE17-(Datos!U17+Datos!AM17))/(Datos!U17+Datos!AM17))," - ")</f>
        <v>-0.20671378091872791</v>
      </c>
      <c r="G17" s="349">
        <f>IF(ISNUMBER(
   IF(D_I="SI",(Datos!L17-Datos!V17)/Datos!V17,(Datos!L17+Datos!AF17-(Datos!V17+Datos!AN17))/(Datos!V17+Datos!AN17))
     ),IF(D_I="SI",(Datos!L17-Datos!V17)/Datos!V17,(Datos!L17+Datos!AF17-(Datos!V17+Datos!AN17))/(Datos!V17+Datos!AN17))," - ")</f>
        <v>8.8495575221238937E-2</v>
      </c>
      <c r="H17" s="230">
        <f>IF(ISNUMBER((Datos!M17-Datos!W17)/Datos!W17),(Datos!M17-Datos!W17)/Datos!W17," - ")</f>
        <v>-0.1111111111111111</v>
      </c>
      <c r="I17" s="350">
        <f>IF(ISNUMBER((Tasas!C17-Datos!BE17)/Datos!BE17),(Tasas!C17-Datos!BE17)/Datos!BE17," - ")</f>
        <v>0.37213473402053737</v>
      </c>
      <c r="J17" s="349">
        <f>IF(ISNUMBER((Tasas!D17-Datos!BF17)/Datos!BF17),(Tasas!D17-Datos!BF17)/Datos!BF17," - ")</f>
        <v>0.12051472407819852</v>
      </c>
      <c r="K17" s="351">
        <f>IF(ISNUMBER((Tasas!E17-Datos!BG17)/Datos!BG17),(Tasas!E17-Datos!BG17)/Datos!BG17," - ")</f>
        <v>6.3497381923776811E-2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0.30139720558882238</v>
      </c>
      <c r="E18" s="354">
        <f>IF(ISNUMBER(
   IF(D_I="SI",(Datos!J18-Datos!T18)/Datos!T18,(Datos!J18+Datos!AD18-(Datos!T18+Datos!AL18))/(Datos!T18+Datos!AL18))
     ),IF(D_I="SI",(Datos!J18-Datos!T18)/Datos!T18,(Datos!J18+Datos!AD18-(Datos!T18+Datos!AL18))/(Datos!T18+Datos!AL18))," - ")</f>
        <v>-9.3485680368007116E-3</v>
      </c>
      <c r="F18" s="354">
        <f>IF(ISNUMBER(
   IF(D_I="SI",(Datos!K18-Datos!U18)/Datos!U18,(Datos!K18+Datos!AE18-(Datos!U18+Datos!AM18))/(Datos!U18+Datos!AM18))
     ),IF(D_I="SI",(Datos!K18-Datos!U18)/Datos!U18,(Datos!K18+Datos!AE18-(Datos!U18+Datos!AM18))/(Datos!U18+Datos!AM18))," - ")</f>
        <v>-8.056504191244955E-2</v>
      </c>
      <c r="G18" s="355">
        <f>IF(ISNUMBER(
   IF(D_I="SI",(Datos!L18-Datos!V18)/Datos!V18,(Datos!L18+Datos!AF18-(Datos!V18+Datos!AN18))/(Datos!V18+Datos!AN18))
     ),IF(D_I="SI",(Datos!L18-Datos!V18)/Datos!V18,(Datos!L18+Datos!AF18-(Datos!V18+Datos!AN18))/(Datos!V18+Datos!AN18))," - ")</f>
        <v>0.58128834355828218</v>
      </c>
      <c r="H18" s="356">
        <f>IF(ISNUMBER((Datos!M18-Datos!W18)/Datos!W18),(Datos!M18-Datos!W18)/Datos!W18," - ")</f>
        <v>4.2194092827004216E-3</v>
      </c>
      <c r="I18" s="357">
        <f>IF(ISNUMBER((Tasas!C18-Datos!BE18)/Datos!BE18),(Tasas!C18-Datos!BE18)/Datos!BE18," - ")</f>
        <v>0.71984796711167542</v>
      </c>
      <c r="J18" s="355">
        <f>IF(ISNUMBER((Tasas!D18-Datos!BF18)/Datos!BF18),(Tasas!D18-Datos!BF18)/Datos!BF18," - ")</f>
        <v>9.2213647577098851E-2</v>
      </c>
      <c r="K18" s="358">
        <f>IF(ISNUMBER((Tasas!E18-Datos!BG18)/Datos!BG18),(Tasas!E18-Datos!BG18)/Datos!BG18," - ")</f>
        <v>0.12120444729887651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0.10131561101315611</v>
      </c>
      <c r="E19" s="363">
        <f>IF(ISNUMBER(
   IF(J_V="SI",(Datos!J19-Datos!T19)/Datos!T19,(Datos!J19+Datos!Z19-(Datos!T19+Datos!AH19))/(Datos!T19+Datos!AH19))
     ),IF(J_V="SI",(Datos!J19-Datos!T19)/Datos!T19,(Datos!J19+Datos!Z19-(Datos!T19+Datos!AH19))/(Datos!T19+Datos!AH19))," - ")</f>
        <v>-0.11302641720972602</v>
      </c>
      <c r="F19" s="363">
        <f>IF(ISNUMBER(
   IF(J_V="SI",(Datos!K19-Datos!U19)/Datos!U19,(Datos!K19+Datos!AA19-(Datos!U19+Datos!AI19))/(Datos!U19+Datos!AI19))
     ),IF(J_V="SI",(Datos!K19-Datos!U19)/Datos!U19,(Datos!K19+Datos!AA19-(Datos!U19+Datos!AI19))/(Datos!U19+Datos!AI19))," - ")</f>
        <v>-5.8836573287013083E-2</v>
      </c>
      <c r="G19" s="364">
        <f>IF(ISNUMBER(
   IF(J_V="SI",(Datos!L19-Datos!V19)/Datos!V19,(Datos!L19+Datos!AB19-(Datos!V19+Datos!AJ19))/(Datos!V19+Datos!AJ19))
     ),IF(J_V="SI",(Datos!L19-Datos!V19)/Datos!V19,(Datos!L19+Datos!AB19-(Datos!V19+Datos!AJ19))/(Datos!V19+Datos!AJ19))," - ")</f>
        <v>2.5862068965517241E-3</v>
      </c>
      <c r="H19" s="365">
        <f>IF(ISNUMBER((Datos!M19-Datos!W19)/Datos!W19),(Datos!M19-Datos!W19)/Datos!W19," - ")</f>
        <v>-9.4807050976655552E-2</v>
      </c>
      <c r="I19" s="362">
        <f>IF(ISNUMBER((Tasas!C19-Datos!BE19)/Datos!BE19),(Tasas!C19-Datos!BE19)/Datos!BE19," - ")</f>
        <v>6.5262608427192823E-2</v>
      </c>
      <c r="J19" s="363">
        <f>IF(ISNUMBER((Tasas!D19-Datos!BF19)/Datos!BF19),(Tasas!D19-Datos!BF19)/Datos!BF19," - ")</f>
        <v>-0.45320206433339322</v>
      </c>
      <c r="K19" s="364">
        <f>IF(ISNUMBER((Tasas!E19-Datos!BG19)/Datos!BG19),(Tasas!E19-Datos!BG19)/Datos!BG19," - ")</f>
        <v>2.0002354776346053E-2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0.17262799824570244</v>
      </c>
      <c r="E21" s="278">
        <f t="shared" si="1"/>
        <v>0.25859311909778965</v>
      </c>
      <c r="F21" s="278">
        <f t="shared" si="1"/>
        <v>0.3237118388751028</v>
      </c>
      <c r="G21" s="279">
        <f t="shared" si="1"/>
        <v>0.28686445624177032</v>
      </c>
      <c r="H21" s="285">
        <f t="shared" si="1"/>
        <v>0.13391364283332566</v>
      </c>
      <c r="I21" s="277">
        <f t="shared" si="1"/>
        <v>0.43452744059099624</v>
      </c>
      <c r="J21" s="278">
        <f t="shared" si="1"/>
        <v>0.31464547686899036</v>
      </c>
      <c r="K21" s="279">
        <f t="shared" si="1"/>
        <v>0.11541327997665334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FyJQUH1aUrYKTixAObmoPLhQRbXTr9GiXK4IXGazIC5oGBPDBkOcazJHCQLkfQpC2r7NsrrUJoHLaB5p7JoiA==" saltValue="WjVTkfZA4phEDvoqSXHOf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